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6d420d3bde4c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開始候補" sheetId="1" r:id="R88f56d6748c3442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h:mm"/>
    <x:numFmt numFmtId="201" formatCode="&quot;AB:&quot;0"/>
    <x:numFmt numFmtId="202" formatCode="&quot;AC:&quot;0"/>
    <x:numFmt numFmtId="203" formatCode="&quot;BC:&quot;0"/>
    <x:numFmt numFmtId="204" formatCode="0"/>
  </x:numFmts>
  <x:fonts count="5">
    <x:font>
      <x:sz val="11"/>
      <x:name val="Carlito"/>
    </x:font>
    <x:font>
      <x:sz val="11"/>
      <x:color rgb="FF172A40"/>
      <x:name val="Arial"/>
    </x:font>
    <x:font>
      <x:b/>
      <x:sz val="16"/>
      <x:color rgb="FF172A40"/>
      <x:name val="Arial"/>
    </x:font>
    <x:font>
      <x:b/>
      <x:sz val="14"/>
      <x:color rgb="FF172A40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9EFF7"/>
      </x:patternFill>
    </x:fill>
    <x:fill>
      <x:patternFill patternType="solid">
        <x:fgColor rgb="FFFFF2CE"/>
      </x:patternFill>
    </x:fill>
    <x:fill>
      <x:patternFill patternType="solid">
        <x:fgColor rgb="FF234A78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234A78"/>
      </x:bottom>
      <x:diagonal/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3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horizontal="center" vertical="center"/>
    </x:xf>
    <x:xf numFmtId="200" fontId="1" fillId="3" borderId="0" xfId="0" applyNumberFormat="1" applyFont="1" applyFill="1" applyBorder="1" applyAlignment="1">
      <x:alignment vertical="center"/>
    </x:xf>
    <x:xf numFmtId="204" fontId="1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3">
    <x:dxf>
      <x:font>
        <x:color rgb="FF9F2520"/>
      </x:font>
      <x:fill>
        <x:patternFill patternType="solid">
          <x:bgColor rgb="FFFCE6E4"/>
        </x:patternFill>
      </x:fill>
    </x:dxf>
    <x:dxf>
      <x:font>
        <x:b/>
        <x:color rgb="FF9F2520"/>
      </x:font>
      <x:fill>
        <x:patternFill patternType="solid">
          <x:bgColor rgb="FFFCE6E4"/>
        </x:patternFill>
      </x:fill>
    </x:dxf>
    <x:dxf>
      <x:font>
        <x:b/>
        <x:color rgb="FF9F2520"/>
      </x:font>
      <x:fill>
        <x:patternFill patternType="solid">
          <x:bgColor rgb="FFFCE6E4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7fb233ae864325" /><Relationship Type="http://schemas.openxmlformats.org/officeDocument/2006/relationships/theme" Target="/xl/theme/theme1.xml" Id="Rf5c56b8b3c6d4521" /><Relationship Type="http://schemas.openxmlformats.org/officeDocument/2006/relationships/sharedStrings" Target="/xl/sharedStrings.xml" Id="R11e45e46feaf405a" /><Relationship Type="http://schemas.openxmlformats.org/officeDocument/2006/relationships/worksheet" Target="/xl/worksheets/sheet1.xml" Id="R88f56d6748c3442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34A78"/>
  </x:sheetPr>
  <x:sheetViews>
    <x:sheetView showGridLines="0" workbookViewId="0"/>
  </x:sheetViews>
  <x:sheetFormatPr defaultRowHeight="15"/>
  <x:cols>
    <x:col min="1" max="1" width="22" hidden="0" customWidth="1"/>
    <x:col min="2" max="2" width="13" hidden="0" customWidth="1"/>
    <x:col min="3" max="3" width="13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5" hidden="0" customWidth="1"/>
    <x:col min="9" max="9" width="21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24" customHeight="1">
      <x:c r="A2" s="4" t="str">
        <x:v>1人の予約開始候補を検算</x:v>
      </x:c>
      <x:c r="B2" s="5"/>
      <x:c r="C2" s="5"/>
      <x:c r="D2" s="5"/>
      <x:c r="E2" s="5"/>
      <x:c r="F2" s="5"/>
      <x:c r="G2" s="5"/>
      <x:c r="H2" s="5"/>
      <x:c r="I2" s="5"/>
    </x:row>
    <x:row r="3" ht="24" customHeight="1">
      <x:c r="A3" s="2" t="str">
        <x:v>1人・同時対応1件。初期値は架空例です。氏名や連絡先は入力しません。</x:v>
      </x:c>
      <x:c r="B3" s="2"/>
      <x:c r="C3" s="2"/>
      <x:c r="D3" s="2"/>
      <x:c r="E3" s="2"/>
      <x:c r="F3" s="2"/>
      <x:c r="G3" s="2"/>
      <x:c r="H3" s="2"/>
      <x:c r="I3" s="2"/>
    </x:row>
    <x:row r="4" ht="24" customHeight="1">
      <x:c r="A4" s="2"/>
      <x:c r="B4" s="2"/>
      <x:c r="C4" s="2"/>
      <x:c r="D4" s="2"/>
      <x:c r="E4" s="2"/>
      <x:c r="F4" s="2"/>
      <x:c r="G4" s="2"/>
      <x:c r="H4" s="2"/>
      <x:c r="I4" s="2"/>
    </x:row>
    <x:row r="5" ht="32" customHeight="1">
      <x:c r="A5" s="2" t="str">
        <x:v>最初の開始候補</x:v>
      </x:c>
      <x:c r="B5" s="2"/>
      <x:c r="C5" s="7" t="n">
        <x:f>IF($B$20&lt;&gt;"入力OK","入力を確認",IF(SUM($F$20:$H$20)&gt;0,"既存予約を確認",IF(COUNTIFS($H$25:$H$168,"候補")=0,"候補なし",INDEX($A$25:$A$168,MATCH("候補",$H$25:$H$168,0)))))</x:f>
        <x:v>0.5625</x:v>
      </x:c>
      <x:c r="D5" s="2"/>
      <x:c r="E5" s="2"/>
      <x:c r="F5" s="2" t="str">
        <x:v>候補数</x:v>
      </x:c>
      <x:c r="G5" s="2"/>
      <x:c r="H5" s="8" t="n">
        <x:f>IF($B$20&lt;&gt;"入力OK","入力待ち",IF(SUM($F$20:$H$20)&gt;0,"未判定",COUNTIFS($H$25:$H$168,"候補")))</x:f>
        <x:v>7</x:v>
      </x:c>
      <x:c r="I5" s="2"/>
    </x:row>
    <x:row r="6" ht="24" customHeight="1">
      <x:c r="A6" s="2" t="str">
        <x:v>既存予約同士</x:v>
      </x:c>
      <x:c r="B6" s="2"/>
      <x:c r="C6" s="2" t="str">
        <x:f>IF($B$20&lt;&gt;"入力OK","入力を確認",IF(SUM($F$20:$H$20)&gt;0,"重複あり・先に調整","重複なし"))</x:f>
        <x:v>重複なし</x:v>
      </x:c>
      <x:c r="D6" s="2"/>
      <x:c r="E6" s="2"/>
      <x:c r="F6" s="2"/>
      <x:c r="G6" s="2"/>
      <x:c r="H6" s="2"/>
      <x:c r="I6" s="2"/>
    </x:row>
    <x:row r="7" ht="24" customHeight="1">
      <x:c r="A7" s="2" t="str">
        <x:v>薄黄色の入力を変更します。候補は人の占有時間だけの計算で、製品上の予約成功を保証しません。</x:v>
      </x:c>
      <x:c r="B7" s="2"/>
      <x:c r="C7" s="2"/>
      <x:c r="D7" s="2"/>
      <x:c r="E7" s="2"/>
      <x:c r="F7" s="2"/>
      <x:c r="G7" s="2"/>
      <x:c r="H7" s="2"/>
      <x:c r="I7" s="2"/>
    </x:row>
    <x:row r="8" ht="24" customHeight="1">
      <x:c r="A8" s="9" t="str">
        <x:v>人を拘束してよい時間帯（準備・片付けもこの中に収める）</x:v>
      </x:c>
      <x:c r="B8" s="9"/>
      <x:c r="C8" s="9"/>
      <x:c r="D8" s="9"/>
      <x:c r="E8" s="9"/>
      <x:c r="F8" s="9"/>
      <x:c r="G8" s="9"/>
      <x:c r="H8" s="9"/>
      <x:c r="I8" s="9"/>
    </x:row>
    <x:row r="9" ht="24" customHeight="1">
      <x:c r="A9" s="2" t="str">
        <x:v>開始</x:v>
      </x:c>
      <x:c r="B9" s="17" t="n">
        <x:v>0.375</x:v>
      </x:c>
      <x:c r="C9" s="2" t="str">
        <x:v>終了</x:v>
      </x:c>
      <x:c r="D9" s="17" t="n">
        <x:v>0.75</x:v>
      </x:c>
      <x:c r="E9" s="2" t="str">
        <x:v>候補間隔（分）</x:v>
      </x:c>
      <x:c r="F9" s="13" t="n">
        <x:v>30</x:v>
      </x:c>
      <x:c r="G9" s="2"/>
      <x:c r="H9" s="2"/>
      <x:c r="I9" s="2"/>
    </x:row>
    <x:row r="10" ht="24" customHeight="1">
      <x:c r="A10" s="2"/>
      <x:c r="B10" s="2"/>
      <x:c r="C10" s="2"/>
      <x:c r="D10" s="2"/>
      <x:c r="E10" s="2"/>
      <x:c r="F10" s="2"/>
      <x:c r="G10" s="2"/>
      <x:c r="H10" s="2"/>
      <x:c r="I10" s="2"/>
    </x:row>
    <x:row r="11" ht="30" customHeight="1">
      <x:c r="A11" s="16" t="str">
        <x:v>既存予約</x:v>
      </x:c>
      <x:c r="B11" s="16" t="str">
        <x:v>使用1／不使用0</x:v>
      </x:c>
      <x:c r="C11" s="16" t="str">
        <x:v>開始</x:v>
      </x:c>
      <x:c r="D11" s="16" t="str">
        <x:v>所要（分）</x:v>
      </x:c>
      <x:c r="E11" s="16" t="str">
        <x:v>前余白（分）</x:v>
      </x:c>
      <x:c r="F11" s="16" t="str">
        <x:v>後余白（分）</x:v>
      </x:c>
      <x:c r="G11" s="16" t="str">
        <x:v>占有開始</x:v>
      </x:c>
      <x:c r="H11" s="16" t="str">
        <x:v>占有終了</x:v>
      </x:c>
      <x:c r="I11" s="16" t="str">
        <x:v>行の入力確認</x:v>
      </x:c>
    </x:row>
    <x:row r="12" ht="24" customHeight="1">
      <x:c r="A12" s="2" t="str">
        <x:v>予約A</x:v>
      </x:c>
      <x:c r="B12" s="13" t="n">
        <x:v>1</x:v>
      </x:c>
      <x:c r="C12" s="17" t="n">
        <x:v>0.4166666666666667</x:v>
      </x:c>
      <x:c r="D12" s="13" t="n">
        <x:v>60</x:v>
      </x:c>
      <x:c r="E12" s="13" t="n">
        <x:v>10</x:v>
      </x:c>
      <x:c r="F12" s="13" t="n">
        <x:v>20</x:v>
      </x:c>
      <x:c r="G12" s="6" t="n">
        <x:f>IF(I12="使用なし","対象外",IF(I12&lt;&gt;"入力OK","未入力",C12-E12/1440))</x:f>
        <x:v>0.40972222222222227</x:v>
      </x:c>
      <x:c r="H12" s="6" t="n">
        <x:f>IF(I12="使用なし","対象外",IF(I12&lt;&gt;"入力OK","未入力",C12+(D12+F12)/1440))</x:f>
        <x:v>0.4722222222222222</x:v>
      </x:c>
      <x:c r="I12" s="2" t="str">
        <x:f>IF(NOT(ISNUMBER(B12)),"入力不足/不正",IF(B12=0,"使用なし",IF(OR(COUNT(C12:F12)&lt;&gt;4,COUNT($B$9,$D$9)&lt;&gt;2),"入力不足/不正",IF(AND(B12=1,C12&gt;=0,C12&lt;1,D12&gt;=1,D12&lt;=720,E12&gt;=0,E12&lt;=180,F12&gt;=0,F12&lt;=180,MOD(D12,1)=0,MOD(E12,1)=0,MOD(F12,1)=0,ROUND(C12*1440,0)-E12&gt;=0,ROUND(C12*1440,0)+D12+F12&lt;=1440),IF(OR(ROUND(C12*1440,0)-E12&lt;ROUND($B$9*1440,0),ROUND(C12*1440,0)+D12+F12&gt;ROUND($D$9*1440,0)),"時間帯外","入力OK"),"入力不足/不正"))))</x:f>
        <x:v>入力OK</x:v>
      </x:c>
    </x:row>
    <x:row r="13" ht="24" customHeight="1">
      <x:c r="A13" s="2" t="str">
        <x:v>予約B</x:v>
      </x:c>
      <x:c r="B13" s="13" t="n">
        <x:v>1</x:v>
      </x:c>
      <x:c r="C13" s="17" t="n">
        <x:v>0.4791666666666667</x:v>
      </x:c>
      <x:c r="D13" s="13" t="n">
        <x:v>90</x:v>
      </x:c>
      <x:c r="E13" s="13" t="n">
        <x:v>10</x:v>
      </x:c>
      <x:c r="F13" s="13" t="n">
        <x:v>20</x:v>
      </x:c>
      <x:c r="G13" s="6" t="n">
        <x:f>IF(I13="使用なし","対象外",IF(I13&lt;&gt;"入力OK","未入力",C13-E13/1440))</x:f>
        <x:v>0.47222222222222227</x:v>
      </x:c>
      <x:c r="H13" s="6" t="n">
        <x:f>IF(I13="使用なし","対象外",IF(I13&lt;&gt;"入力OK","未入力",C13+(D13+F13)/1440))</x:f>
        <x:v>0.5555555555555556</x:v>
      </x:c>
      <x:c r="I13" s="2" t="str">
        <x:f>IF(NOT(ISNUMBER(B13)),"入力不足/不正",IF(B13=0,"使用なし",IF(OR(COUNT(C13:F13)&lt;&gt;4,COUNT($B$9,$D$9)&lt;&gt;2),"入力不足/不正",IF(AND(B13=1,C13&gt;=0,C13&lt;1,D13&gt;=1,D13&lt;=720,E13&gt;=0,E13&lt;=180,F13&gt;=0,F13&lt;=180,MOD(D13,1)=0,MOD(E13,1)=0,MOD(F13,1)=0,ROUND(C13*1440,0)-E13&gt;=0,ROUND(C13*1440,0)+D13+F13&lt;=1440),IF(OR(ROUND(C13*1440,0)-E13&lt;ROUND($B$9*1440,0),ROUND(C13*1440,0)+D13+F13&gt;ROUND($D$9*1440,0)),"時間帯外","入力OK"),"入力不足/不正"))))</x:f>
        <x:v>入力OK</x:v>
      </x:c>
    </x:row>
    <x:row r="14" ht="24" customHeight="1">
      <x:c r="A14" s="2" t="str">
        <x:v>予約C</x:v>
      </x:c>
      <x:c r="B14" s="13" t="n">
        <x:v>0</x:v>
      </x:c>
      <x:c r="C14" s="17" t="n">
        <x:v>0.5833333333333334</x:v>
      </x:c>
      <x:c r="D14" s="13" t="n">
        <x:v>30</x:v>
      </x:c>
      <x:c r="E14" s="13" t="n">
        <x:v>0</x:v>
      </x:c>
      <x:c r="F14" s="13" t="n">
        <x:v>0</x:v>
      </x:c>
      <x:c r="G14" s="6" t="str">
        <x:f>IF(I14="使用なし","対象外",IF(I14&lt;&gt;"入力OK","未入力",C14-E14/1440))</x:f>
        <x:v>対象外</x:v>
      </x:c>
      <x:c r="H14" s="6" t="str">
        <x:f>IF(I14="使用なし","対象外",IF(I14&lt;&gt;"入力OK","未入力",C14+(D14+F14)/1440))</x:f>
        <x:v>対象外</x:v>
      </x:c>
      <x:c r="I14" s="2" t="str">
        <x:f>IF(NOT(ISNUMBER(B14)),"入力不足/不正",IF(B14=0,"使用なし",IF(OR(COUNT(C14:F14)&lt;&gt;4,COUNT($B$9,$D$9)&lt;&gt;2),"入力不足/不正",IF(AND(B14=1,C14&gt;=0,C14&lt;1,D14&gt;=1,D14&lt;=720,E14&gt;=0,E14&lt;=180,F14&gt;=0,F14&lt;=180,MOD(D14,1)=0,MOD(E14,1)=0,MOD(F14,1)=0,ROUND(C14*1440,0)-E14&gt;=0,ROUND(C14*1440,0)+D14+F14&lt;=1440),IF(OR(ROUND(C14*1440,0)-E14&lt;ROUND($B$9*1440,0),ROUND(C14*1440,0)+D14+F14&gt;ROUND($D$9*1440,0)),"時間帯外","入力OK"),"入力不足/不正"))))</x:f>
        <x:v>使用なし</x:v>
      </x:c>
    </x:row>
    <x:row r="15" ht="24" customHeight="1">
      <x:c r="A15" s="2"/>
      <x:c r="B15" s="2"/>
      <x:c r="C15" s="2"/>
      <x:c r="D15" s="2"/>
      <x:c r="E15" s="2"/>
      <x:c r="F15" s="2"/>
      <x:c r="G15" s="2"/>
      <x:c r="H15" s="2"/>
      <x:c r="I15" s="2"/>
    </x:row>
    <x:row r="16" ht="30" customHeight="1">
      <x:c r="A16" s="16" t="str">
        <x:v>追加したい1件</x:v>
      </x:c>
      <x:c r="B16" s="16" t="str">
        <x:v>所要（分）</x:v>
      </x:c>
      <x:c r="C16" s="16" t="str">
        <x:v>前余白（分）</x:v>
      </x:c>
      <x:c r="D16" s="16" t="str">
        <x:v>後余白（分）</x:v>
      </x:c>
      <x:c r="E16" s="2"/>
      <x:c r="F16" s="2"/>
      <x:c r="G16" s="2"/>
      <x:c r="H16" s="2"/>
      <x:c r="I16" s="2"/>
    </x:row>
    <x:row r="17" ht="24" customHeight="1">
      <x:c r="A17" s="2" t="str">
        <x:v>追加メニュー</x:v>
      </x:c>
      <x:c r="B17" s="13" t="n">
        <x:v>60</x:v>
      </x:c>
      <x:c r="C17" s="13" t="n">
        <x:v>10</x:v>
      </x:c>
      <x:c r="D17" s="13" t="n">
        <x:v>20</x:v>
      </x:c>
      <x:c r="E17" s="2"/>
      <x:c r="F17" s="2"/>
      <x:c r="G17" s="2"/>
      <x:c r="H17" s="2"/>
      <x:c r="I17" s="2"/>
    </x:row>
    <x:row r="18" ht="24" customHeight="1">
      <x:c r="A18" s="2" t="str">
        <x:v>所要＝入店〜退店の全体。所要に含めた準備時間は、前後余白へ二重に加えません。</x:v>
      </x:c>
      <x:c r="B18" s="2"/>
      <x:c r="C18" s="2"/>
      <x:c r="D18" s="2"/>
      <x:c r="E18" s="2"/>
      <x:c r="F18" s="2"/>
      <x:c r="G18" s="2"/>
      <x:c r="H18" s="2"/>
      <x:c r="I18" s="2"/>
    </x:row>
    <x:row r="19" ht="24" customHeight="1">
      <x:c r="A19" s="2" t="str">
        <x:v>使用する既存予約は0〜3件。前後余白の0は有効、空欄は未入力です。同じ日だけを計算します。</x:v>
      </x:c>
      <x:c r="B19" s="2"/>
      <x:c r="C19" s="2"/>
      <x:c r="D19" s="2"/>
      <x:c r="E19" s="2"/>
      <x:c r="F19" s="2"/>
      <x:c r="G19" s="2"/>
      <x:c r="H19" s="2"/>
      <x:c r="I19" s="2"/>
    </x:row>
    <x:row r="20" ht="24" customHeight="1">
      <x:c r="A20" s="2" t="str">
        <x:v>入力確認</x:v>
      </x:c>
      <x:c r="B20" s="2" t="str">
        <x:f>IF(COUNT(B9,D9,F9,B17:D17)&lt;&gt;6,"入力不足/不正",IF(AND(B9&gt;=0,D9&lt;=1,B9&lt;D9,OR(F9=10,F9=30,F9=60),B17&gt;=1,B17&lt;=720,C17&gt;=0,C17&lt;=180,D17&gt;=0,D17&lt;=180,MOD(B17,1)=0,MOD(C17,1)=0,MOD(D17,1)=0,COUNTIFS(I12:I14,"入力不足/不正")=0,COUNTIFS(I12:I14,"時間帯外")=0),"入力OK","入力不足/不正"))</x:f>
        <x:v>入力OK</x:v>
      </x:c>
      <x:c r="C20" s="2"/>
      <x:c r="D20" s="2"/>
      <x:c r="E20" s="2" t="str">
        <x:v>既存の重複分</x:v>
      </x:c>
      <x:c r="F20" s="10" t="n">
        <x:f>IF($B$20&lt;&gt;"入力OK","未入力",IF(OR($B$12=0,$B$13=0),0,MAX(0,MIN(ROUND($H$12*1440,0),ROUND($H$13*1440,0))-MAX(ROUND($G$12*1440,0),ROUND($G$13*1440,0)))))</x:f>
        <x:v>0</x:v>
      </x:c>
      <x:c r="G20" s="11" t="n">
        <x:f>IF($B$20&lt;&gt;"入力OK","未入力",IF(OR($B$12=0,$B$14=0),0,MAX(0,MIN(ROUND($H$12*1440,0),ROUND($H$14*1440,0))-MAX(ROUND($G$12*1440,0),ROUND($G$14*1440,0)))))</x:f>
        <x:v>0</x:v>
      </x:c>
      <x:c r="H20" s="12" t="n">
        <x:f>IF($B$20&lt;&gt;"入力OK","未入力",IF(OR($B$13=0,$B$14=0),0,MAX(0,MIN(ROUND($H$13*1440,0),ROUND($H$14*1440,0))-MAX(ROUND($G$13*1440,0),ROUND($G$14*1440,0)))))</x:f>
        <x:v>0</x:v>
      </x:c>
      <x:c r="I20" s="2"/>
    </x:row>
    <x:row r="21" ht="24" customHeight="1">
      <x:c r="A21" s="2" t="str">
        <x:v>時間帯は予約サービスの「営業時間」と同じ意味とは限りません。休憩は使用する既存予約として追加できます。</x:v>
      </x:c>
      <x:c r="B21" s="2"/>
      <x:c r="C21" s="2"/>
      <x:c r="D21" s="2"/>
      <x:c r="E21" s="2"/>
      <x:c r="F21" s="2"/>
      <x:c r="G21" s="2"/>
      <x:c r="H21" s="2"/>
      <x:c r="I21" s="2"/>
    </x:row>
    <x:row r="22" ht="24" customHeight="1">
      <x:c r="A22" s="2" t="str">
        <x:v>境界が接するだけなら重複なし。刻みは毎時0分起点。複数スタッフ・設備・グループ定員は対象外です。</x:v>
      </x:c>
      <x:c r="B22" s="2"/>
      <x:c r="C22" s="2"/>
      <x:c r="D22" s="2"/>
      <x:c r="E22" s="2"/>
      <x:c r="F22" s="2"/>
      <x:c r="G22" s="2"/>
      <x:c r="H22" s="2"/>
      <x:c r="I22" s="2"/>
    </x:row>
    <x:row r="23" ht="24" customHeight="1">
      <x:c r="A23" s="2"/>
      <x:c r="B23" s="2"/>
      <x:c r="C23" s="2"/>
      <x:c r="D23" s="2"/>
      <x:c r="E23" s="2"/>
      <x:c r="F23" s="2"/>
      <x:c r="G23" s="2"/>
      <x:c r="H23" s="2"/>
      <x:c r="I23" s="2"/>
    </x:row>
    <x:row r="24" ht="30" customHeight="1">
      <x:c r="A24" s="16" t="str">
        <x:v>開始候補</x:v>
      </x:c>
      <x:c r="B24" s="16" t="str">
        <x:v>占有開始</x:v>
      </x:c>
      <x:c r="C24" s="16" t="str">
        <x:v>占有終了</x:v>
      </x:c>
      <x:c r="D24" s="16" t="str">
        <x:v>Aと重複（分）</x:v>
      </x:c>
      <x:c r="E24" s="16" t="str">
        <x:v>Bと重複（分）</x:v>
      </x:c>
      <x:c r="F24" s="16" t="str">
        <x:v>Cと重複（分）</x:v>
      </x:c>
      <x:c r="G24" s="16" t="str">
        <x:v>時間帯</x:v>
      </x:c>
      <x:c r="H24" s="16" t="str">
        <x:v>判定</x:v>
      </x:c>
      <x:c r="I24" s="2"/>
    </x:row>
    <x:row r="25" ht="24" customHeight="1">
      <x:c r="A25" s="6" t="n">
        <x:f>IF($B$20&lt;&gt;"入力OK","",IF((CEILING(ROUND($B$9*1440,0),$F$9)+(25-25)*$F$9)&gt;=ROUND($D$9*1440,0),"",(CEILING(ROUND($B$9*1440,0),$F$9)+(25-25)*$F$9)/1440))</x:f>
        <x:v>0.375</x:v>
      </x:c>
      <x:c r="B25" s="6" t="n">
        <x:f>IF(A25="","",A25-$C$17/1440)</x:f>
        <x:v>0.3680555555555556</x:v>
      </x:c>
      <x:c r="C25" s="6" t="n">
        <x:f>IF(A25="","",A25+($B$17+$D$17)/1440)</x:f>
        <x:v>0.4305555555555556</x:v>
      </x:c>
      <x:c r="D25" s="18" t="n">
        <x:f>IF(A25="","",IF($B$12=0,0,MAX(0,MIN(ROUND($C25*1440,0),ROUND($H$12*1440,0))-MAX(ROUND($B25*1440,0),ROUND($G$12*1440,0)))))</x:f>
        <x:v>30</x:v>
      </x:c>
      <x:c r="E25" s="18" t="n">
        <x:f>IF(A25="","",IF($B$13=0,0,MAX(0,MIN(ROUND($C25*1440,0),ROUND($H$13*1440,0))-MAX(ROUND($B25*1440,0),ROUND($G$13*1440,0)))))</x:f>
        <x:v>0</x:v>
      </x:c>
      <x:c r="F25" s="18" t="n">
        <x:f>IF(A25="","",IF($B$14=0,0,MAX(0,MIN(ROUND($C25*1440,0),ROUND($H$14*1440,0))-MAX(ROUND($B25*1440,0),ROUND($G$14*1440,0)))))</x:f>
        <x:v>0</x:v>
      </x:c>
      <x:c r="G25" s="2" t="str">
        <x:f>IF(A25="","",IF(OR(ROUND(B25*1440,0)&lt;ROUND($B$9*1440,0),ROUND(C25*1440,0)&gt;ROUND($D$9*1440,0)),"時間外","時間内"))</x:f>
        <x:v>時間外</x:v>
      </x:c>
      <x:c r="H25" s="2" t="str">
        <x:f>IF($B$20&lt;&gt;"入力OK","入力待ち",IF(A25="","",IF(G25="時間外","対象外",IF(SUM(D25:F25)&gt;0,"重複あり","候補"))))</x:f>
        <x:v>対象外</x:v>
      </x:c>
      <x:c r="I25" s="2"/>
    </x:row>
    <x:row r="26" ht="24" customHeight="1">
      <x:c r="A26" s="6" t="n">
        <x:f>IF($B$20&lt;&gt;"入力OK","",IF((CEILING(ROUND($B$9*1440,0),$F$9)+(26-25)*$F$9)&gt;=ROUND($D$9*1440,0),"",(CEILING(ROUND($B$9*1440,0),$F$9)+(26-25)*$F$9)/1440))</x:f>
        <x:v>0.3958333333333333</x:v>
      </x:c>
      <x:c r="B26" s="6" t="n">
        <x:f>IF(A26="","",A26-$C$17/1440)</x:f>
        <x:v>0.3888888888888889</x:v>
      </x:c>
      <x:c r="C26" s="6" t="n">
        <x:f>IF(A26="","",A26+($B$17+$D$17)/1440)</x:f>
        <x:v>0.45138888888888884</x:v>
      </x:c>
      <x:c r="D26" s="18" t="n">
        <x:f>IF(A26="","",IF($B$12=0,0,MAX(0,MIN(ROUND($C26*1440,0),ROUND($H$12*1440,0))-MAX(ROUND($B26*1440,0),ROUND($G$12*1440,0)))))</x:f>
        <x:v>60</x:v>
      </x:c>
      <x:c r="E26" s="18" t="n">
        <x:f>IF(A26="","",IF($B$13=0,0,MAX(0,MIN(ROUND($C26*1440,0),ROUND($H$13*1440,0))-MAX(ROUND($B26*1440,0),ROUND($G$13*1440,0)))))</x:f>
        <x:v>0</x:v>
      </x:c>
      <x:c r="F26" s="18" t="n">
        <x:f>IF(A26="","",IF($B$14=0,0,MAX(0,MIN(ROUND($C26*1440,0),ROUND($H$14*1440,0))-MAX(ROUND($B26*1440,0),ROUND($G$14*1440,0)))))</x:f>
        <x:v>0</x:v>
      </x:c>
      <x:c r="G26" s="2" t="str">
        <x:f>IF(A26="","",IF(OR(ROUND(B26*1440,0)&lt;ROUND($B$9*1440,0),ROUND(C26*1440,0)&gt;ROUND($D$9*1440,0)),"時間外","時間内"))</x:f>
        <x:v>時間内</x:v>
      </x:c>
      <x:c r="H26" s="2" t="str">
        <x:f>IF($B$20&lt;&gt;"入力OK","入力待ち",IF(A26="","",IF(G26="時間外","対象外",IF(SUM(D26:F26)&gt;0,"重複あり","候補"))))</x:f>
        <x:v>重複あり</x:v>
      </x:c>
      <x:c r="I26" s="2"/>
    </x:row>
    <x:row r="27" ht="24" customHeight="1">
      <x:c r="A27" s="6" t="n">
        <x:f>IF($B$20&lt;&gt;"入力OK","",IF((CEILING(ROUND($B$9*1440,0),$F$9)+(27-25)*$F$9)&gt;=ROUND($D$9*1440,0),"",(CEILING(ROUND($B$9*1440,0),$F$9)+(27-25)*$F$9)/1440))</x:f>
        <x:v>0.4166666666666667</x:v>
      </x:c>
      <x:c r="B27" s="6" t="n">
        <x:f>IF(A27="","",A27-$C$17/1440)</x:f>
        <x:v>0.40972222222222227</x:v>
      </x:c>
      <x:c r="C27" s="6" t="n">
        <x:f>IF(A27="","",A27+($B$17+$D$17)/1440)</x:f>
        <x:v>0.4722222222222222</x:v>
      </x:c>
      <x:c r="D27" s="18" t="n">
        <x:f>IF(A27="","",IF($B$12=0,0,MAX(0,MIN(ROUND($C27*1440,0),ROUND($H$12*1440,0))-MAX(ROUND($B27*1440,0),ROUND($G$12*1440,0)))))</x:f>
        <x:v>90</x:v>
      </x:c>
      <x:c r="E27" s="18" t="n">
        <x:f>IF(A27="","",IF($B$13=0,0,MAX(0,MIN(ROUND($C27*1440,0),ROUND($H$13*1440,0))-MAX(ROUND($B27*1440,0),ROUND($G$13*1440,0)))))</x:f>
        <x:v>0</x:v>
      </x:c>
      <x:c r="F27" s="18" t="n">
        <x:f>IF(A27="","",IF($B$14=0,0,MAX(0,MIN(ROUND($C27*1440,0),ROUND($H$14*1440,0))-MAX(ROUND($B27*1440,0),ROUND($G$14*1440,0)))))</x:f>
        <x:v>0</x:v>
      </x:c>
      <x:c r="G27" s="2" t="str">
        <x:f>IF(A27="","",IF(OR(ROUND(B27*1440,0)&lt;ROUND($B$9*1440,0),ROUND(C27*1440,0)&gt;ROUND($D$9*1440,0)),"時間外","時間内"))</x:f>
        <x:v>時間内</x:v>
      </x:c>
      <x:c r="H27" s="2" t="str">
        <x:f>IF($B$20&lt;&gt;"入力OK","入力待ち",IF(A27="","",IF(G27="時間外","対象外",IF(SUM(D27:F27)&gt;0,"重複あり","候補"))))</x:f>
        <x:v>重複あり</x:v>
      </x:c>
      <x:c r="I27" s="2"/>
    </x:row>
    <x:row r="28" ht="24" customHeight="1">
      <x:c r="A28" s="6" t="n">
        <x:f>IF($B$20&lt;&gt;"入力OK","",IF((CEILING(ROUND($B$9*1440,0),$F$9)+(28-25)*$F$9)&gt;=ROUND($D$9*1440,0),"",(CEILING(ROUND($B$9*1440,0),$F$9)+(28-25)*$F$9)/1440))</x:f>
        <x:v>0.4375</x:v>
      </x:c>
      <x:c r="B28" s="6" t="n">
        <x:f>IF(A28="","",A28-$C$17/1440)</x:f>
        <x:v>0.4305555555555556</x:v>
      </x:c>
      <x:c r="C28" s="6" t="n">
        <x:f>IF(A28="","",A28+($B$17+$D$17)/1440)</x:f>
        <x:v>0.4930555555555556</x:v>
      </x:c>
      <x:c r="D28" s="18" t="n">
        <x:f>IF(A28="","",IF($B$12=0,0,MAX(0,MIN(ROUND($C28*1440,0),ROUND($H$12*1440,0))-MAX(ROUND($B28*1440,0),ROUND($G$12*1440,0)))))</x:f>
        <x:v>60</x:v>
      </x:c>
      <x:c r="E28" s="18" t="n">
        <x:f>IF(A28="","",IF($B$13=0,0,MAX(0,MIN(ROUND($C28*1440,0),ROUND($H$13*1440,0))-MAX(ROUND($B28*1440,0),ROUND($G$13*1440,0)))))</x:f>
        <x:v>30</x:v>
      </x:c>
      <x:c r="F28" s="18" t="n">
        <x:f>IF(A28="","",IF($B$14=0,0,MAX(0,MIN(ROUND($C28*1440,0),ROUND($H$14*1440,0))-MAX(ROUND($B28*1440,0),ROUND($G$14*1440,0)))))</x:f>
        <x:v>0</x:v>
      </x:c>
      <x:c r="G28" s="2" t="str">
        <x:f>IF(A28="","",IF(OR(ROUND(B28*1440,0)&lt;ROUND($B$9*1440,0),ROUND(C28*1440,0)&gt;ROUND($D$9*1440,0)),"時間外","時間内"))</x:f>
        <x:v>時間内</x:v>
      </x:c>
      <x:c r="H28" s="2" t="str">
        <x:f>IF($B$20&lt;&gt;"入力OK","入力待ち",IF(A28="","",IF(G28="時間外","対象外",IF(SUM(D28:F28)&gt;0,"重複あり","候補"))))</x:f>
        <x:v>重複あり</x:v>
      </x:c>
      <x:c r="I28" s="2"/>
    </x:row>
    <x:row r="29" ht="24" customHeight="1">
      <x:c r="A29" s="6" t="n">
        <x:f>IF($B$20&lt;&gt;"入力OK","",IF((CEILING(ROUND($B$9*1440,0),$F$9)+(29-25)*$F$9)&gt;=ROUND($D$9*1440,0),"",(CEILING(ROUND($B$9*1440,0),$F$9)+(29-25)*$F$9)/1440))</x:f>
        <x:v>0.4583333333333333</x:v>
      </x:c>
      <x:c r="B29" s="6" t="n">
        <x:f>IF(A29="","",A29-$C$17/1440)</x:f>
        <x:v>0.4513888888888889</x:v>
      </x:c>
      <x:c r="C29" s="6" t="n">
        <x:f>IF(A29="","",A29+($B$17+$D$17)/1440)</x:f>
        <x:v>0.5138888888888888</x:v>
      </x:c>
      <x:c r="D29" s="18" t="n">
        <x:f>IF(A29="","",IF($B$12=0,0,MAX(0,MIN(ROUND($C29*1440,0),ROUND($H$12*1440,0))-MAX(ROUND($B29*1440,0),ROUND($G$12*1440,0)))))</x:f>
        <x:v>30</x:v>
      </x:c>
      <x:c r="E29" s="18" t="n">
        <x:f>IF(A29="","",IF($B$13=0,0,MAX(0,MIN(ROUND($C29*1440,0),ROUND($H$13*1440,0))-MAX(ROUND($B29*1440,0),ROUND($G$13*1440,0)))))</x:f>
        <x:v>60</x:v>
      </x:c>
      <x:c r="F29" s="18" t="n">
        <x:f>IF(A29="","",IF($B$14=0,0,MAX(0,MIN(ROUND($C29*1440,0),ROUND($H$14*1440,0))-MAX(ROUND($B29*1440,0),ROUND($G$14*1440,0)))))</x:f>
        <x:v>0</x:v>
      </x:c>
      <x:c r="G29" s="2" t="str">
        <x:f>IF(A29="","",IF(OR(ROUND(B29*1440,0)&lt;ROUND($B$9*1440,0),ROUND(C29*1440,0)&gt;ROUND($D$9*1440,0)),"時間外","時間内"))</x:f>
        <x:v>時間内</x:v>
      </x:c>
      <x:c r="H29" s="2" t="str">
        <x:f>IF($B$20&lt;&gt;"入力OK","入力待ち",IF(A29="","",IF(G29="時間外","対象外",IF(SUM(D29:F29)&gt;0,"重複あり","候補"))))</x:f>
        <x:v>重複あり</x:v>
      </x:c>
      <x:c r="I29" s="2"/>
    </x:row>
    <x:row r="30" ht="24" customHeight="1">
      <x:c r="A30" s="6" t="n">
        <x:f>IF($B$20&lt;&gt;"入力OK","",IF((CEILING(ROUND($B$9*1440,0),$F$9)+(30-25)*$F$9)&gt;=ROUND($D$9*1440,0),"",(CEILING(ROUND($B$9*1440,0),$F$9)+(30-25)*$F$9)/1440))</x:f>
        <x:v>0.4791666666666667</x:v>
      </x:c>
      <x:c r="B30" s="6" t="n">
        <x:f>IF(A30="","",A30-$C$17/1440)</x:f>
        <x:v>0.47222222222222227</x:v>
      </x:c>
      <x:c r="C30" s="6" t="n">
        <x:f>IF(A30="","",A30+($B$17+$D$17)/1440)</x:f>
        <x:v>0.5347222222222222</x:v>
      </x:c>
      <x:c r="D30" s="18" t="n">
        <x:f>IF(A30="","",IF($B$12=0,0,MAX(0,MIN(ROUND($C30*1440,0),ROUND($H$12*1440,0))-MAX(ROUND($B30*1440,0),ROUND($G$12*1440,0)))))</x:f>
        <x:v>0</x:v>
      </x:c>
      <x:c r="E30" s="18" t="n">
        <x:f>IF(A30="","",IF($B$13=0,0,MAX(0,MIN(ROUND($C30*1440,0),ROUND($H$13*1440,0))-MAX(ROUND($B30*1440,0),ROUND($G$13*1440,0)))))</x:f>
        <x:v>90</x:v>
      </x:c>
      <x:c r="F30" s="18" t="n">
        <x:f>IF(A30="","",IF($B$14=0,0,MAX(0,MIN(ROUND($C30*1440,0),ROUND($H$14*1440,0))-MAX(ROUND($B30*1440,0),ROUND($G$14*1440,0)))))</x:f>
        <x:v>0</x:v>
      </x:c>
      <x:c r="G30" s="2" t="str">
        <x:f>IF(A30="","",IF(OR(ROUND(B30*1440,0)&lt;ROUND($B$9*1440,0),ROUND(C30*1440,0)&gt;ROUND($D$9*1440,0)),"時間外","時間内"))</x:f>
        <x:v>時間内</x:v>
      </x:c>
      <x:c r="H30" s="2" t="str">
        <x:f>IF($B$20&lt;&gt;"入力OK","入力待ち",IF(A30="","",IF(G30="時間外","対象外",IF(SUM(D30:F30)&gt;0,"重複あり","候補"))))</x:f>
        <x:v>重複あり</x:v>
      </x:c>
      <x:c r="I30" s="2"/>
    </x:row>
    <x:row r="31" ht="24" customHeight="1">
      <x:c r="A31" s="6" t="n">
        <x:f>IF($B$20&lt;&gt;"入力OK","",IF((CEILING(ROUND($B$9*1440,0),$F$9)+(31-25)*$F$9)&gt;=ROUND($D$9*1440,0),"",(CEILING(ROUND($B$9*1440,0),$F$9)+(31-25)*$F$9)/1440))</x:f>
        <x:v>0.5</x:v>
      </x:c>
      <x:c r="B31" s="6" t="n">
        <x:f>IF(A31="","",A31-$C$17/1440)</x:f>
        <x:v>0.4930555555555556</x:v>
      </x:c>
      <x:c r="C31" s="6" t="n">
        <x:f>IF(A31="","",A31+($B$17+$D$17)/1440)</x:f>
        <x:v>0.5555555555555556</x:v>
      </x:c>
      <x:c r="D31" s="18" t="n">
        <x:f>IF(A31="","",IF($B$12=0,0,MAX(0,MIN(ROUND($C31*1440,0),ROUND($H$12*1440,0))-MAX(ROUND($B31*1440,0),ROUND($G$12*1440,0)))))</x:f>
        <x:v>0</x:v>
      </x:c>
      <x:c r="E31" s="18" t="n">
        <x:f>IF(A31="","",IF($B$13=0,0,MAX(0,MIN(ROUND($C31*1440,0),ROUND($H$13*1440,0))-MAX(ROUND($B31*1440,0),ROUND($G$13*1440,0)))))</x:f>
        <x:v>90</x:v>
      </x:c>
      <x:c r="F31" s="18" t="n">
        <x:f>IF(A31="","",IF($B$14=0,0,MAX(0,MIN(ROUND($C31*1440,0),ROUND($H$14*1440,0))-MAX(ROUND($B31*1440,0),ROUND($G$14*1440,0)))))</x:f>
        <x:v>0</x:v>
      </x:c>
      <x:c r="G31" s="2" t="str">
        <x:f>IF(A31="","",IF(OR(ROUND(B31*1440,0)&lt;ROUND($B$9*1440,0),ROUND(C31*1440,0)&gt;ROUND($D$9*1440,0)),"時間外","時間内"))</x:f>
        <x:v>時間内</x:v>
      </x:c>
      <x:c r="H31" s="2" t="str">
        <x:f>IF($B$20&lt;&gt;"入力OK","入力待ち",IF(A31="","",IF(G31="時間外","対象外",IF(SUM(D31:F31)&gt;0,"重複あり","候補"))))</x:f>
        <x:v>重複あり</x:v>
      </x:c>
      <x:c r="I31" s="2"/>
    </x:row>
    <x:row r="32" ht="24" customHeight="1">
      <x:c r="A32" s="6" t="n">
        <x:f>IF($B$20&lt;&gt;"入力OK","",IF((CEILING(ROUND($B$9*1440,0),$F$9)+(32-25)*$F$9)&gt;=ROUND($D$9*1440,0),"",(CEILING(ROUND($B$9*1440,0),$F$9)+(32-25)*$F$9)/1440))</x:f>
        <x:v>0.5208333333333334</x:v>
      </x:c>
      <x:c r="B32" s="6" t="n">
        <x:f>IF(A32="","",A32-$C$17/1440)</x:f>
        <x:v>0.513888888888889</x:v>
      </x:c>
      <x:c r="C32" s="6" t="n">
        <x:f>IF(A32="","",A32+($B$17+$D$17)/1440)</x:f>
        <x:v>0.576388888888889</x:v>
      </x:c>
      <x:c r="D32" s="18" t="n">
        <x:f>IF(A32="","",IF($B$12=0,0,MAX(0,MIN(ROUND($C32*1440,0),ROUND($H$12*1440,0))-MAX(ROUND($B32*1440,0),ROUND($G$12*1440,0)))))</x:f>
        <x:v>0</x:v>
      </x:c>
      <x:c r="E32" s="18" t="n">
        <x:f>IF(A32="","",IF($B$13=0,0,MAX(0,MIN(ROUND($C32*1440,0),ROUND($H$13*1440,0))-MAX(ROUND($B32*1440,0),ROUND($G$13*1440,0)))))</x:f>
        <x:v>60</x:v>
      </x:c>
      <x:c r="F32" s="18" t="n">
        <x:f>IF(A32="","",IF($B$14=0,0,MAX(0,MIN(ROUND($C32*1440,0),ROUND($H$14*1440,0))-MAX(ROUND($B32*1440,0),ROUND($G$14*1440,0)))))</x:f>
        <x:v>0</x:v>
      </x:c>
      <x:c r="G32" s="2" t="str">
        <x:f>IF(A32="","",IF(OR(ROUND(B32*1440,0)&lt;ROUND($B$9*1440,0),ROUND(C32*1440,0)&gt;ROUND($D$9*1440,0)),"時間外","時間内"))</x:f>
        <x:v>時間内</x:v>
      </x:c>
      <x:c r="H32" s="2" t="str">
        <x:f>IF($B$20&lt;&gt;"入力OK","入力待ち",IF(A32="","",IF(G32="時間外","対象外",IF(SUM(D32:F32)&gt;0,"重複あり","候補"))))</x:f>
        <x:v>重複あり</x:v>
      </x:c>
      <x:c r="I32" s="2"/>
    </x:row>
    <x:row r="33" ht="24" customHeight="1">
      <x:c r="A33" s="6" t="n">
        <x:f>IF($B$20&lt;&gt;"入力OK","",IF((CEILING(ROUND($B$9*1440,0),$F$9)+(33-25)*$F$9)&gt;=ROUND($D$9*1440,0),"",(CEILING(ROUND($B$9*1440,0),$F$9)+(33-25)*$F$9)/1440))</x:f>
        <x:v>0.5416666666666666</x:v>
      </x:c>
      <x:c r="B33" s="6" t="n">
        <x:f>IF(A33="","",A33-$C$17/1440)</x:f>
        <x:v>0.5347222222222222</x:v>
      </x:c>
      <x:c r="C33" s="6" t="n">
        <x:f>IF(A33="","",A33+($B$17+$D$17)/1440)</x:f>
        <x:v>0.5972222222222222</x:v>
      </x:c>
      <x:c r="D33" s="18" t="n">
        <x:f>IF(A33="","",IF($B$12=0,0,MAX(0,MIN(ROUND($C33*1440,0),ROUND($H$12*1440,0))-MAX(ROUND($B33*1440,0),ROUND($G$12*1440,0)))))</x:f>
        <x:v>0</x:v>
      </x:c>
      <x:c r="E33" s="18" t="n">
        <x:f>IF(A33="","",IF($B$13=0,0,MAX(0,MIN(ROUND($C33*1440,0),ROUND($H$13*1440,0))-MAX(ROUND($B33*1440,0),ROUND($G$13*1440,0)))))</x:f>
        <x:v>30</x:v>
      </x:c>
      <x:c r="F33" s="18" t="n">
        <x:f>IF(A33="","",IF($B$14=0,0,MAX(0,MIN(ROUND($C33*1440,0),ROUND($H$14*1440,0))-MAX(ROUND($B33*1440,0),ROUND($G$14*1440,0)))))</x:f>
        <x:v>0</x:v>
      </x:c>
      <x:c r="G33" s="2" t="str">
        <x:f>IF(A33="","",IF(OR(ROUND(B33*1440,0)&lt;ROUND($B$9*1440,0),ROUND(C33*1440,0)&gt;ROUND($D$9*1440,0)),"時間外","時間内"))</x:f>
        <x:v>時間内</x:v>
      </x:c>
      <x:c r="H33" s="2" t="str">
        <x:f>IF($B$20&lt;&gt;"入力OK","入力待ち",IF(A33="","",IF(G33="時間外","対象外",IF(SUM(D33:F33)&gt;0,"重複あり","候補"))))</x:f>
        <x:v>重複あり</x:v>
      </x:c>
      <x:c r="I33" s="2"/>
    </x:row>
    <x:row r="34" ht="24" customHeight="1">
      <x:c r="A34" s="6" t="n">
        <x:f>IF($B$20&lt;&gt;"入力OK","",IF((CEILING(ROUND($B$9*1440,0),$F$9)+(34-25)*$F$9)&gt;=ROUND($D$9*1440,0),"",(CEILING(ROUND($B$9*1440,0),$F$9)+(34-25)*$F$9)/1440))</x:f>
        <x:v>0.5625</x:v>
      </x:c>
      <x:c r="B34" s="6" t="n">
        <x:f>IF(A34="","",A34-$C$17/1440)</x:f>
        <x:v>0.5555555555555556</x:v>
      </x:c>
      <x:c r="C34" s="6" t="n">
        <x:f>IF(A34="","",A34+($B$17+$D$17)/1440)</x:f>
        <x:v>0.6180555555555556</x:v>
      </x:c>
      <x:c r="D34" s="18" t="n">
        <x:f>IF(A34="","",IF($B$12=0,0,MAX(0,MIN(ROUND($C34*1440,0),ROUND($H$12*1440,0))-MAX(ROUND($B34*1440,0),ROUND($G$12*1440,0)))))</x:f>
        <x:v>0</x:v>
      </x:c>
      <x:c r="E34" s="18" t="n">
        <x:f>IF(A34="","",IF($B$13=0,0,MAX(0,MIN(ROUND($C34*1440,0),ROUND($H$13*1440,0))-MAX(ROUND($B34*1440,0),ROUND($G$13*1440,0)))))</x:f>
        <x:v>0</x:v>
      </x:c>
      <x:c r="F34" s="18" t="n">
        <x:f>IF(A34="","",IF($B$14=0,0,MAX(0,MIN(ROUND($C34*1440,0),ROUND($H$14*1440,0))-MAX(ROUND($B34*1440,0),ROUND($G$14*1440,0)))))</x:f>
        <x:v>0</x:v>
      </x:c>
      <x:c r="G34" s="2" t="str">
        <x:f>IF(A34="","",IF(OR(ROUND(B34*1440,0)&lt;ROUND($B$9*1440,0),ROUND(C34*1440,0)&gt;ROUND($D$9*1440,0)),"時間外","時間内"))</x:f>
        <x:v>時間内</x:v>
      </x:c>
      <x:c r="H34" s="2" t="str">
        <x:f>IF($B$20&lt;&gt;"入力OK","入力待ち",IF(A34="","",IF(G34="時間外","対象外",IF(SUM(D34:F34)&gt;0,"重複あり","候補"))))</x:f>
        <x:v>候補</x:v>
      </x:c>
      <x:c r="I34" s="2"/>
    </x:row>
    <x:row r="35" ht="24" customHeight="1">
      <x:c r="A35" s="6" t="n">
        <x:f>IF($B$20&lt;&gt;"入力OK","",IF((CEILING(ROUND($B$9*1440,0),$F$9)+(35-25)*$F$9)&gt;=ROUND($D$9*1440,0),"",(CEILING(ROUND($B$9*1440,0),$F$9)+(35-25)*$F$9)/1440))</x:f>
        <x:v>0.5833333333333334</x:v>
      </x:c>
      <x:c r="B35" s="6" t="n">
        <x:f>IF(A35="","",A35-$C$17/1440)</x:f>
        <x:v>0.576388888888889</x:v>
      </x:c>
      <x:c r="C35" s="6" t="n">
        <x:f>IF(A35="","",A35+($B$17+$D$17)/1440)</x:f>
        <x:v>0.638888888888889</x:v>
      </x:c>
      <x:c r="D35" s="18" t="n">
        <x:f>IF(A35="","",IF($B$12=0,0,MAX(0,MIN(ROUND($C35*1440,0),ROUND($H$12*1440,0))-MAX(ROUND($B35*1440,0),ROUND($G$12*1440,0)))))</x:f>
        <x:v>0</x:v>
      </x:c>
      <x:c r="E35" s="18" t="n">
        <x:f>IF(A35="","",IF($B$13=0,0,MAX(0,MIN(ROUND($C35*1440,0),ROUND($H$13*1440,0))-MAX(ROUND($B35*1440,0),ROUND($G$13*1440,0)))))</x:f>
        <x:v>0</x:v>
      </x:c>
      <x:c r="F35" s="18" t="n">
        <x:f>IF(A35="","",IF($B$14=0,0,MAX(0,MIN(ROUND($C35*1440,0),ROUND($H$14*1440,0))-MAX(ROUND($B35*1440,0),ROUND($G$14*1440,0)))))</x:f>
        <x:v>0</x:v>
      </x:c>
      <x:c r="G35" s="2" t="str">
        <x:f>IF(A35="","",IF(OR(ROUND(B35*1440,0)&lt;ROUND($B$9*1440,0),ROUND(C35*1440,0)&gt;ROUND($D$9*1440,0)),"時間外","時間内"))</x:f>
        <x:v>時間内</x:v>
      </x:c>
      <x:c r="H35" s="2" t="str">
        <x:f>IF($B$20&lt;&gt;"入力OK","入力待ち",IF(A35="","",IF(G35="時間外","対象外",IF(SUM(D35:F35)&gt;0,"重複あり","候補"))))</x:f>
        <x:v>候補</x:v>
      </x:c>
      <x:c r="I35" s="2"/>
    </x:row>
    <x:row r="36" ht="24" customHeight="1">
      <x:c r="A36" s="6" t="n">
        <x:f>IF($B$20&lt;&gt;"入力OK","",IF((CEILING(ROUND($B$9*1440,0),$F$9)+(36-25)*$F$9)&gt;=ROUND($D$9*1440,0),"",(CEILING(ROUND($B$9*1440,0),$F$9)+(36-25)*$F$9)/1440))</x:f>
        <x:v>0.6041666666666666</x:v>
      </x:c>
      <x:c r="B36" s="6" t="n">
        <x:f>IF(A36="","",A36-$C$17/1440)</x:f>
        <x:v>0.5972222222222222</x:v>
      </x:c>
      <x:c r="C36" s="6" t="n">
        <x:f>IF(A36="","",A36+($B$17+$D$17)/1440)</x:f>
        <x:v>0.6597222222222222</x:v>
      </x:c>
      <x:c r="D36" s="18" t="n">
        <x:f>IF(A36="","",IF($B$12=0,0,MAX(0,MIN(ROUND($C36*1440,0),ROUND($H$12*1440,0))-MAX(ROUND($B36*1440,0),ROUND($G$12*1440,0)))))</x:f>
        <x:v>0</x:v>
      </x:c>
      <x:c r="E36" s="18" t="n">
        <x:f>IF(A36="","",IF($B$13=0,0,MAX(0,MIN(ROUND($C36*1440,0),ROUND($H$13*1440,0))-MAX(ROUND($B36*1440,0),ROUND($G$13*1440,0)))))</x:f>
        <x:v>0</x:v>
      </x:c>
      <x:c r="F36" s="18" t="n">
        <x:f>IF(A36="","",IF($B$14=0,0,MAX(0,MIN(ROUND($C36*1440,0),ROUND($H$14*1440,0))-MAX(ROUND($B36*1440,0),ROUND($G$14*1440,0)))))</x:f>
        <x:v>0</x:v>
      </x:c>
      <x:c r="G36" s="2" t="str">
        <x:f>IF(A36="","",IF(OR(ROUND(B36*1440,0)&lt;ROUND($B$9*1440,0),ROUND(C36*1440,0)&gt;ROUND($D$9*1440,0)),"時間外","時間内"))</x:f>
        <x:v>時間内</x:v>
      </x:c>
      <x:c r="H36" s="2" t="str">
        <x:f>IF($B$20&lt;&gt;"入力OK","入力待ち",IF(A36="","",IF(G36="時間外","対象外",IF(SUM(D36:F36)&gt;0,"重複あり","候補"))))</x:f>
        <x:v>候補</x:v>
      </x:c>
      <x:c r="I36" s="2"/>
    </x:row>
    <x:row r="37" ht="24" customHeight="1">
      <x:c r="A37" s="6" t="n">
        <x:f>IF($B$20&lt;&gt;"入力OK","",IF((CEILING(ROUND($B$9*1440,0),$F$9)+(37-25)*$F$9)&gt;=ROUND($D$9*1440,0),"",(CEILING(ROUND($B$9*1440,0),$F$9)+(37-25)*$F$9)/1440))</x:f>
        <x:v>0.625</x:v>
      </x:c>
      <x:c r="B37" s="6" t="n">
        <x:f>IF(A37="","",A37-$C$17/1440)</x:f>
        <x:v>0.6180555555555556</x:v>
      </x:c>
      <x:c r="C37" s="6" t="n">
        <x:f>IF(A37="","",A37+($B$17+$D$17)/1440)</x:f>
        <x:v>0.6805555555555556</x:v>
      </x:c>
      <x:c r="D37" s="18" t="n">
        <x:f>IF(A37="","",IF($B$12=0,0,MAX(0,MIN(ROUND($C37*1440,0),ROUND($H$12*1440,0))-MAX(ROUND($B37*1440,0),ROUND($G$12*1440,0)))))</x:f>
        <x:v>0</x:v>
      </x:c>
      <x:c r="E37" s="18" t="n">
        <x:f>IF(A37="","",IF($B$13=0,0,MAX(0,MIN(ROUND($C37*1440,0),ROUND($H$13*1440,0))-MAX(ROUND($B37*1440,0),ROUND($G$13*1440,0)))))</x:f>
        <x:v>0</x:v>
      </x:c>
      <x:c r="F37" s="18" t="n">
        <x:f>IF(A37="","",IF($B$14=0,0,MAX(0,MIN(ROUND($C37*1440,0),ROUND($H$14*1440,0))-MAX(ROUND($B37*1440,0),ROUND($G$14*1440,0)))))</x:f>
        <x:v>0</x:v>
      </x:c>
      <x:c r="G37" s="2" t="str">
        <x:f>IF(A37="","",IF(OR(ROUND(B37*1440,0)&lt;ROUND($B$9*1440,0),ROUND(C37*1440,0)&gt;ROUND($D$9*1440,0)),"時間外","時間内"))</x:f>
        <x:v>時間内</x:v>
      </x:c>
      <x:c r="H37" s="2" t="str">
        <x:f>IF($B$20&lt;&gt;"入力OK","入力待ち",IF(A37="","",IF(G37="時間外","対象外",IF(SUM(D37:F37)&gt;0,"重複あり","候補"))))</x:f>
        <x:v>候補</x:v>
      </x:c>
      <x:c r="I37" s="2"/>
    </x:row>
    <x:row r="38" ht="24" customHeight="1">
      <x:c r="A38" s="6" t="n">
        <x:f>IF($B$20&lt;&gt;"入力OK","",IF((CEILING(ROUND($B$9*1440,0),$F$9)+(38-25)*$F$9)&gt;=ROUND($D$9*1440,0),"",(CEILING(ROUND($B$9*1440,0),$F$9)+(38-25)*$F$9)/1440))</x:f>
        <x:v>0.6458333333333334</x:v>
      </x:c>
      <x:c r="B38" s="6" t="n">
        <x:f>IF(A38="","",A38-$C$17/1440)</x:f>
        <x:v>0.638888888888889</x:v>
      </x:c>
      <x:c r="C38" s="6" t="n">
        <x:f>IF(A38="","",A38+($B$17+$D$17)/1440)</x:f>
        <x:v>0.701388888888889</x:v>
      </x:c>
      <x:c r="D38" s="18" t="n">
        <x:f>IF(A38="","",IF($B$12=0,0,MAX(0,MIN(ROUND($C38*1440,0),ROUND($H$12*1440,0))-MAX(ROUND($B38*1440,0),ROUND($G$12*1440,0)))))</x:f>
        <x:v>0</x:v>
      </x:c>
      <x:c r="E38" s="18" t="n">
        <x:f>IF(A38="","",IF($B$13=0,0,MAX(0,MIN(ROUND($C38*1440,0),ROUND($H$13*1440,0))-MAX(ROUND($B38*1440,0),ROUND($G$13*1440,0)))))</x:f>
        <x:v>0</x:v>
      </x:c>
      <x:c r="F38" s="18" t="n">
        <x:f>IF(A38="","",IF($B$14=0,0,MAX(0,MIN(ROUND($C38*1440,0),ROUND($H$14*1440,0))-MAX(ROUND($B38*1440,0),ROUND($G$14*1440,0)))))</x:f>
        <x:v>0</x:v>
      </x:c>
      <x:c r="G38" s="2" t="str">
        <x:f>IF(A38="","",IF(OR(ROUND(B38*1440,0)&lt;ROUND($B$9*1440,0),ROUND(C38*1440,0)&gt;ROUND($D$9*1440,0)),"時間外","時間内"))</x:f>
        <x:v>時間内</x:v>
      </x:c>
      <x:c r="H38" s="2" t="str">
        <x:f>IF($B$20&lt;&gt;"入力OK","入力待ち",IF(A38="","",IF(G38="時間外","対象外",IF(SUM(D38:F38)&gt;0,"重複あり","候補"))))</x:f>
        <x:v>候補</x:v>
      </x:c>
      <x:c r="I38" s="2"/>
    </x:row>
    <x:row r="39" ht="24" customHeight="1">
      <x:c r="A39" s="6" t="n">
        <x:f>IF($B$20&lt;&gt;"入力OK","",IF((CEILING(ROUND($B$9*1440,0),$F$9)+(39-25)*$F$9)&gt;=ROUND($D$9*1440,0),"",(CEILING(ROUND($B$9*1440,0),$F$9)+(39-25)*$F$9)/1440))</x:f>
        <x:v>0.6666666666666666</x:v>
      </x:c>
      <x:c r="B39" s="6" t="n">
        <x:f>IF(A39="","",A39-$C$17/1440)</x:f>
        <x:v>0.6597222222222222</x:v>
      </x:c>
      <x:c r="C39" s="6" t="n">
        <x:f>IF(A39="","",A39+($B$17+$D$17)/1440)</x:f>
        <x:v>0.7222222222222222</x:v>
      </x:c>
      <x:c r="D39" s="18" t="n">
        <x:f>IF(A39="","",IF($B$12=0,0,MAX(0,MIN(ROUND($C39*1440,0),ROUND($H$12*1440,0))-MAX(ROUND($B39*1440,0),ROUND($G$12*1440,0)))))</x:f>
        <x:v>0</x:v>
      </x:c>
      <x:c r="E39" s="18" t="n">
        <x:f>IF(A39="","",IF($B$13=0,0,MAX(0,MIN(ROUND($C39*1440,0),ROUND($H$13*1440,0))-MAX(ROUND($B39*1440,0),ROUND($G$13*1440,0)))))</x:f>
        <x:v>0</x:v>
      </x:c>
      <x:c r="F39" s="18" t="n">
        <x:f>IF(A39="","",IF($B$14=0,0,MAX(0,MIN(ROUND($C39*1440,0),ROUND($H$14*1440,0))-MAX(ROUND($B39*1440,0),ROUND($G$14*1440,0)))))</x:f>
        <x:v>0</x:v>
      </x:c>
      <x:c r="G39" s="2" t="str">
        <x:f>IF(A39="","",IF(OR(ROUND(B39*1440,0)&lt;ROUND($B$9*1440,0),ROUND(C39*1440,0)&gt;ROUND($D$9*1440,0)),"時間外","時間内"))</x:f>
        <x:v>時間内</x:v>
      </x:c>
      <x:c r="H39" s="2" t="str">
        <x:f>IF($B$20&lt;&gt;"入力OK","入力待ち",IF(A39="","",IF(G39="時間外","対象外",IF(SUM(D39:F39)&gt;0,"重複あり","候補"))))</x:f>
        <x:v>候補</x:v>
      </x:c>
      <x:c r="I39" s="2"/>
    </x:row>
    <x:row r="40" ht="24" customHeight="1">
      <x:c r="A40" s="6" t="n">
        <x:f>IF($B$20&lt;&gt;"入力OK","",IF((CEILING(ROUND($B$9*1440,0),$F$9)+(40-25)*$F$9)&gt;=ROUND($D$9*1440,0),"",(CEILING(ROUND($B$9*1440,0),$F$9)+(40-25)*$F$9)/1440))</x:f>
        <x:v>0.6875</x:v>
      </x:c>
      <x:c r="B40" s="6" t="n">
        <x:f>IF(A40="","",A40-$C$17/1440)</x:f>
        <x:v>0.6805555555555556</x:v>
      </x:c>
      <x:c r="C40" s="6" t="n">
        <x:f>IF(A40="","",A40+($B$17+$D$17)/1440)</x:f>
        <x:v>0.7430555555555556</x:v>
      </x:c>
      <x:c r="D40" s="18" t="n">
        <x:f>IF(A40="","",IF($B$12=0,0,MAX(0,MIN(ROUND($C40*1440,0),ROUND($H$12*1440,0))-MAX(ROUND($B40*1440,0),ROUND($G$12*1440,0)))))</x:f>
        <x:v>0</x:v>
      </x:c>
      <x:c r="E40" s="18" t="n">
        <x:f>IF(A40="","",IF($B$13=0,0,MAX(0,MIN(ROUND($C40*1440,0),ROUND($H$13*1440,0))-MAX(ROUND($B40*1440,0),ROUND($G$13*1440,0)))))</x:f>
        <x:v>0</x:v>
      </x:c>
      <x:c r="F40" s="18" t="n">
        <x:f>IF(A40="","",IF($B$14=0,0,MAX(0,MIN(ROUND($C40*1440,0),ROUND($H$14*1440,0))-MAX(ROUND($B40*1440,0),ROUND($G$14*1440,0)))))</x:f>
        <x:v>0</x:v>
      </x:c>
      <x:c r="G40" s="2" t="str">
        <x:f>IF(A40="","",IF(OR(ROUND(B40*1440,0)&lt;ROUND($B$9*1440,0),ROUND(C40*1440,0)&gt;ROUND($D$9*1440,0)),"時間外","時間内"))</x:f>
        <x:v>時間内</x:v>
      </x:c>
      <x:c r="H40" s="2" t="str">
        <x:f>IF($B$20&lt;&gt;"入力OK","入力待ち",IF(A40="","",IF(G40="時間外","対象外",IF(SUM(D40:F40)&gt;0,"重複あり","候補"))))</x:f>
        <x:v>候補</x:v>
      </x:c>
      <x:c r="I40" s="2"/>
    </x:row>
    <x:row r="41" ht="24" customHeight="1">
      <x:c r="A41" s="6" t="n">
        <x:f>IF($B$20&lt;&gt;"入力OK","",IF((CEILING(ROUND($B$9*1440,0),$F$9)+(41-25)*$F$9)&gt;=ROUND($D$9*1440,0),"",(CEILING(ROUND($B$9*1440,0),$F$9)+(41-25)*$F$9)/1440))</x:f>
        <x:v>0.7083333333333334</x:v>
      </x:c>
      <x:c r="B41" s="6" t="n">
        <x:f>IF(A41="","",A41-$C$17/1440)</x:f>
        <x:v>0.701388888888889</x:v>
      </x:c>
      <x:c r="C41" s="6" t="n">
        <x:f>IF(A41="","",A41+($B$17+$D$17)/1440)</x:f>
        <x:v>0.763888888888889</x:v>
      </x:c>
      <x:c r="D41" s="18" t="n">
        <x:f>IF(A41="","",IF($B$12=0,0,MAX(0,MIN(ROUND($C41*1440,0),ROUND($H$12*1440,0))-MAX(ROUND($B41*1440,0),ROUND($G$12*1440,0)))))</x:f>
        <x:v>0</x:v>
      </x:c>
      <x:c r="E41" s="18" t="n">
        <x:f>IF(A41="","",IF($B$13=0,0,MAX(0,MIN(ROUND($C41*1440,0),ROUND($H$13*1440,0))-MAX(ROUND($B41*1440,0),ROUND($G$13*1440,0)))))</x:f>
        <x:v>0</x:v>
      </x:c>
      <x:c r="F41" s="18" t="n">
        <x:f>IF(A41="","",IF($B$14=0,0,MAX(0,MIN(ROUND($C41*1440,0),ROUND($H$14*1440,0))-MAX(ROUND($B41*1440,0),ROUND($G$14*1440,0)))))</x:f>
        <x:v>0</x:v>
      </x:c>
      <x:c r="G41" s="2" t="str">
        <x:f>IF(A41="","",IF(OR(ROUND(B41*1440,0)&lt;ROUND($B$9*1440,0),ROUND(C41*1440,0)&gt;ROUND($D$9*1440,0)),"時間外","時間内"))</x:f>
        <x:v>時間外</x:v>
      </x:c>
      <x:c r="H41" s="2" t="str">
        <x:f>IF($B$20&lt;&gt;"入力OK","入力待ち",IF(A41="","",IF(G41="時間外","対象外",IF(SUM(D41:F41)&gt;0,"重複あり","候補"))))</x:f>
        <x:v>対象外</x:v>
      </x:c>
      <x:c r="I41" s="2"/>
    </x:row>
    <x:row r="42" ht="24" customHeight="1">
      <x:c r="A42" s="6" t="n">
        <x:f>IF($B$20&lt;&gt;"入力OK","",IF((CEILING(ROUND($B$9*1440,0),$F$9)+(42-25)*$F$9)&gt;=ROUND($D$9*1440,0),"",(CEILING(ROUND($B$9*1440,0),$F$9)+(42-25)*$F$9)/1440))</x:f>
        <x:v>0.7291666666666666</x:v>
      </x:c>
      <x:c r="B42" s="6" t="n">
        <x:f>IF(A42="","",A42-$C$17/1440)</x:f>
        <x:v>0.7222222222222222</x:v>
      </x:c>
      <x:c r="C42" s="6" t="n">
        <x:f>IF(A42="","",A42+($B$17+$D$17)/1440)</x:f>
        <x:v>0.7847222222222222</x:v>
      </x:c>
      <x:c r="D42" s="18" t="n">
        <x:f>IF(A42="","",IF($B$12=0,0,MAX(0,MIN(ROUND($C42*1440,0),ROUND($H$12*1440,0))-MAX(ROUND($B42*1440,0),ROUND($G$12*1440,0)))))</x:f>
        <x:v>0</x:v>
      </x:c>
      <x:c r="E42" s="18" t="n">
        <x:f>IF(A42="","",IF($B$13=0,0,MAX(0,MIN(ROUND($C42*1440,0),ROUND($H$13*1440,0))-MAX(ROUND($B42*1440,0),ROUND($G$13*1440,0)))))</x:f>
        <x:v>0</x:v>
      </x:c>
      <x:c r="F42" s="18" t="n">
        <x:f>IF(A42="","",IF($B$14=0,0,MAX(0,MIN(ROUND($C42*1440,0),ROUND($H$14*1440,0))-MAX(ROUND($B42*1440,0),ROUND($G$14*1440,0)))))</x:f>
        <x:v>0</x:v>
      </x:c>
      <x:c r="G42" s="2" t="str">
        <x:f>IF(A42="","",IF(OR(ROUND(B42*1440,0)&lt;ROUND($B$9*1440,0),ROUND(C42*1440,0)&gt;ROUND($D$9*1440,0)),"時間外","時間内"))</x:f>
        <x:v>時間外</x:v>
      </x:c>
      <x:c r="H42" s="2" t="str">
        <x:f>IF($B$20&lt;&gt;"入力OK","入力待ち",IF(A42="","",IF(G42="時間外","対象外",IF(SUM(D42:F42)&gt;0,"重複あり","候補"))))</x:f>
        <x:v>対象外</x:v>
      </x:c>
      <x:c r="I42" s="2"/>
    </x:row>
    <x:row r="43" ht="24" customHeight="1">
      <x:c r="A43" s="6" t="str">
        <x:f>IF($B$20&lt;&gt;"入力OK","",IF((CEILING(ROUND($B$9*1440,0),$F$9)+(43-25)*$F$9)&gt;=ROUND($D$9*1440,0),"",(CEILING(ROUND($B$9*1440,0),$F$9)+(43-25)*$F$9)/1440))</x:f>
      </x:c>
      <x:c r="B43" s="6" t="str">
        <x:f>IF(A43="","",A43-$C$17/1440)</x:f>
      </x:c>
      <x:c r="C43" s="6" t="str">
        <x:f>IF(A43="","",A43+($B$17+$D$17)/1440)</x:f>
      </x:c>
      <x:c r="D43" s="18" t="str">
        <x:f>IF(A43="","",IF($B$12=0,0,MAX(0,MIN(ROUND($C43*1440,0),ROUND($H$12*1440,0))-MAX(ROUND($B43*1440,0),ROUND($G$12*1440,0)))))</x:f>
      </x:c>
      <x:c r="E43" s="18" t="str">
        <x:f>IF(A43="","",IF($B$13=0,0,MAX(0,MIN(ROUND($C43*1440,0),ROUND($H$13*1440,0))-MAX(ROUND($B43*1440,0),ROUND($G$13*1440,0)))))</x:f>
      </x:c>
      <x:c r="F43" s="18" t="str">
        <x:f>IF(A43="","",IF($B$14=0,0,MAX(0,MIN(ROUND($C43*1440,0),ROUND($H$14*1440,0))-MAX(ROUND($B43*1440,0),ROUND($G$14*1440,0)))))</x:f>
      </x:c>
      <x:c r="G43" s="2" t="str">
        <x:f>IF(A43="","",IF(OR(ROUND(B43*1440,0)&lt;ROUND($B$9*1440,0),ROUND(C43*1440,0)&gt;ROUND($D$9*1440,0)),"時間外","時間内"))</x:f>
      </x:c>
      <x:c r="H43" s="2" t="str">
        <x:f>IF($B$20&lt;&gt;"入力OK","入力待ち",IF(A43="","",IF(G43="時間外","対象外",IF(SUM(D43:F43)&gt;0,"重複あり","候補"))))</x:f>
      </x:c>
      <x:c r="I43" s="2"/>
    </x:row>
    <x:row r="44" ht="24" customHeight="1">
      <x:c r="A44" s="6" t="str">
        <x:f>IF($B$20&lt;&gt;"入力OK","",IF((CEILING(ROUND($B$9*1440,0),$F$9)+(44-25)*$F$9)&gt;=ROUND($D$9*1440,0),"",(CEILING(ROUND($B$9*1440,0),$F$9)+(44-25)*$F$9)/1440))</x:f>
      </x:c>
      <x:c r="B44" s="6" t="str">
        <x:f>IF(A44="","",A44-$C$17/1440)</x:f>
      </x:c>
      <x:c r="C44" s="6" t="str">
        <x:f>IF(A44="","",A44+($B$17+$D$17)/1440)</x:f>
      </x:c>
      <x:c r="D44" s="18" t="str">
        <x:f>IF(A44="","",IF($B$12=0,0,MAX(0,MIN(ROUND($C44*1440,0),ROUND($H$12*1440,0))-MAX(ROUND($B44*1440,0),ROUND($G$12*1440,0)))))</x:f>
      </x:c>
      <x:c r="E44" s="18" t="str">
        <x:f>IF(A44="","",IF($B$13=0,0,MAX(0,MIN(ROUND($C44*1440,0),ROUND($H$13*1440,0))-MAX(ROUND($B44*1440,0),ROUND($G$13*1440,0)))))</x:f>
      </x:c>
      <x:c r="F44" s="18" t="str">
        <x:f>IF(A44="","",IF($B$14=0,0,MAX(0,MIN(ROUND($C44*1440,0),ROUND($H$14*1440,0))-MAX(ROUND($B44*1440,0),ROUND($G$14*1440,0)))))</x:f>
      </x:c>
      <x:c r="G44" s="2" t="str">
        <x:f>IF(A44="","",IF(OR(ROUND(B44*1440,0)&lt;ROUND($B$9*1440,0),ROUND(C44*1440,0)&gt;ROUND($D$9*1440,0)),"時間外","時間内"))</x:f>
      </x:c>
      <x:c r="H44" s="2" t="str">
        <x:f>IF($B$20&lt;&gt;"入力OK","入力待ち",IF(A44="","",IF(G44="時間外","対象外",IF(SUM(D44:F44)&gt;0,"重複あり","候補"))))</x:f>
      </x:c>
      <x:c r="I44" s="2"/>
    </x:row>
    <x:row r="45" ht="24" customHeight="1">
      <x:c r="A45" s="6" t="str">
        <x:f>IF($B$20&lt;&gt;"入力OK","",IF((CEILING(ROUND($B$9*1440,0),$F$9)+(45-25)*$F$9)&gt;=ROUND($D$9*1440,0),"",(CEILING(ROUND($B$9*1440,0),$F$9)+(45-25)*$F$9)/1440))</x:f>
      </x:c>
      <x:c r="B45" s="6" t="str">
        <x:f>IF(A45="","",A45-$C$17/1440)</x:f>
      </x:c>
      <x:c r="C45" s="6" t="str">
        <x:f>IF(A45="","",A45+($B$17+$D$17)/1440)</x:f>
      </x:c>
      <x:c r="D45" s="18" t="str">
        <x:f>IF(A45="","",IF($B$12=0,0,MAX(0,MIN(ROUND($C45*1440,0),ROUND($H$12*1440,0))-MAX(ROUND($B45*1440,0),ROUND($G$12*1440,0)))))</x:f>
      </x:c>
      <x:c r="E45" s="18" t="str">
        <x:f>IF(A45="","",IF($B$13=0,0,MAX(0,MIN(ROUND($C45*1440,0),ROUND($H$13*1440,0))-MAX(ROUND($B45*1440,0),ROUND($G$13*1440,0)))))</x:f>
      </x:c>
      <x:c r="F45" s="18" t="str">
        <x:f>IF(A45="","",IF($B$14=0,0,MAX(0,MIN(ROUND($C45*1440,0),ROUND($H$14*1440,0))-MAX(ROUND($B45*1440,0),ROUND($G$14*1440,0)))))</x:f>
      </x:c>
      <x:c r="G45" s="2" t="str">
        <x:f>IF(A45="","",IF(OR(ROUND(B45*1440,0)&lt;ROUND($B$9*1440,0),ROUND(C45*1440,0)&gt;ROUND($D$9*1440,0)),"時間外","時間内"))</x:f>
      </x:c>
      <x:c r="H45" s="2" t="str">
        <x:f>IF($B$20&lt;&gt;"入力OK","入力待ち",IF(A45="","",IF(G45="時間外","対象外",IF(SUM(D45:F45)&gt;0,"重複あり","候補"))))</x:f>
      </x:c>
      <x:c r="I45" s="2"/>
    </x:row>
    <x:row r="46" ht="24" customHeight="1">
      <x:c r="A46" s="6" t="str">
        <x:f>IF($B$20&lt;&gt;"入力OK","",IF((CEILING(ROUND($B$9*1440,0),$F$9)+(46-25)*$F$9)&gt;=ROUND($D$9*1440,0),"",(CEILING(ROUND($B$9*1440,0),$F$9)+(46-25)*$F$9)/1440))</x:f>
      </x:c>
      <x:c r="B46" s="6" t="str">
        <x:f>IF(A46="","",A46-$C$17/1440)</x:f>
      </x:c>
      <x:c r="C46" s="6" t="str">
        <x:f>IF(A46="","",A46+($B$17+$D$17)/1440)</x:f>
      </x:c>
      <x:c r="D46" s="18" t="str">
        <x:f>IF(A46="","",IF($B$12=0,0,MAX(0,MIN(ROUND($C46*1440,0),ROUND($H$12*1440,0))-MAX(ROUND($B46*1440,0),ROUND($G$12*1440,0)))))</x:f>
      </x:c>
      <x:c r="E46" s="18" t="str">
        <x:f>IF(A46="","",IF($B$13=0,0,MAX(0,MIN(ROUND($C46*1440,0),ROUND($H$13*1440,0))-MAX(ROUND($B46*1440,0),ROUND($G$13*1440,0)))))</x:f>
      </x:c>
      <x:c r="F46" s="18" t="str">
        <x:f>IF(A46="","",IF($B$14=0,0,MAX(0,MIN(ROUND($C46*1440,0),ROUND($H$14*1440,0))-MAX(ROUND($B46*1440,0),ROUND($G$14*1440,0)))))</x:f>
      </x:c>
      <x:c r="G46" s="2" t="str">
        <x:f>IF(A46="","",IF(OR(ROUND(B46*1440,0)&lt;ROUND($B$9*1440,0),ROUND(C46*1440,0)&gt;ROUND($D$9*1440,0)),"時間外","時間内"))</x:f>
      </x:c>
      <x:c r="H46" s="2" t="str">
        <x:f>IF($B$20&lt;&gt;"入力OK","入力待ち",IF(A46="","",IF(G46="時間外","対象外",IF(SUM(D46:F46)&gt;0,"重複あり","候補"))))</x:f>
      </x:c>
      <x:c r="I46" s="2"/>
    </x:row>
    <x:row r="47" ht="24" customHeight="1">
      <x:c r="A47" s="6" t="str">
        <x:f>IF($B$20&lt;&gt;"入力OK","",IF((CEILING(ROUND($B$9*1440,0),$F$9)+(47-25)*$F$9)&gt;=ROUND($D$9*1440,0),"",(CEILING(ROUND($B$9*1440,0),$F$9)+(47-25)*$F$9)/1440))</x:f>
      </x:c>
      <x:c r="B47" s="6" t="str">
        <x:f>IF(A47="","",A47-$C$17/1440)</x:f>
      </x:c>
      <x:c r="C47" s="6" t="str">
        <x:f>IF(A47="","",A47+($B$17+$D$17)/1440)</x:f>
      </x:c>
      <x:c r="D47" s="18" t="str">
        <x:f>IF(A47="","",IF($B$12=0,0,MAX(0,MIN(ROUND($C47*1440,0),ROUND($H$12*1440,0))-MAX(ROUND($B47*1440,0),ROUND($G$12*1440,0)))))</x:f>
      </x:c>
      <x:c r="E47" s="18" t="str">
        <x:f>IF(A47="","",IF($B$13=0,0,MAX(0,MIN(ROUND($C47*1440,0),ROUND($H$13*1440,0))-MAX(ROUND($B47*1440,0),ROUND($G$13*1440,0)))))</x:f>
      </x:c>
      <x:c r="F47" s="18" t="str">
        <x:f>IF(A47="","",IF($B$14=0,0,MAX(0,MIN(ROUND($C47*1440,0),ROUND($H$14*1440,0))-MAX(ROUND($B47*1440,0),ROUND($G$14*1440,0)))))</x:f>
      </x:c>
      <x:c r="G47" s="2" t="str">
        <x:f>IF(A47="","",IF(OR(ROUND(B47*1440,0)&lt;ROUND($B$9*1440,0),ROUND(C47*1440,0)&gt;ROUND($D$9*1440,0)),"時間外","時間内"))</x:f>
      </x:c>
      <x:c r="H47" s="2" t="str">
        <x:f>IF($B$20&lt;&gt;"入力OK","入力待ち",IF(A47="","",IF(G47="時間外","対象外",IF(SUM(D47:F47)&gt;0,"重複あり","候補"))))</x:f>
      </x:c>
      <x:c r="I47" s="2"/>
    </x:row>
    <x:row r="48" ht="24" customHeight="1">
      <x:c r="A48" s="6" t="str">
        <x:f>IF($B$20&lt;&gt;"入力OK","",IF((CEILING(ROUND($B$9*1440,0),$F$9)+(48-25)*$F$9)&gt;=ROUND($D$9*1440,0),"",(CEILING(ROUND($B$9*1440,0),$F$9)+(48-25)*$F$9)/1440))</x:f>
      </x:c>
      <x:c r="B48" s="6" t="str">
        <x:f>IF(A48="","",A48-$C$17/1440)</x:f>
      </x:c>
      <x:c r="C48" s="6" t="str">
        <x:f>IF(A48="","",A48+($B$17+$D$17)/1440)</x:f>
      </x:c>
      <x:c r="D48" s="18" t="str">
        <x:f>IF(A48="","",IF($B$12=0,0,MAX(0,MIN(ROUND($C48*1440,0),ROUND($H$12*1440,0))-MAX(ROUND($B48*1440,0),ROUND($G$12*1440,0)))))</x:f>
      </x:c>
      <x:c r="E48" s="18" t="str">
        <x:f>IF(A48="","",IF($B$13=0,0,MAX(0,MIN(ROUND($C48*1440,0),ROUND($H$13*1440,0))-MAX(ROUND($B48*1440,0),ROUND($G$13*1440,0)))))</x:f>
      </x:c>
      <x:c r="F48" s="18" t="str">
        <x:f>IF(A48="","",IF($B$14=0,0,MAX(0,MIN(ROUND($C48*1440,0),ROUND($H$14*1440,0))-MAX(ROUND($B48*1440,0),ROUND($G$14*1440,0)))))</x:f>
      </x:c>
      <x:c r="G48" s="2" t="str">
        <x:f>IF(A48="","",IF(OR(ROUND(B48*1440,0)&lt;ROUND($B$9*1440,0),ROUND(C48*1440,0)&gt;ROUND($D$9*1440,0)),"時間外","時間内"))</x:f>
      </x:c>
      <x:c r="H48" s="2" t="str">
        <x:f>IF($B$20&lt;&gt;"入力OK","入力待ち",IF(A48="","",IF(G48="時間外","対象外",IF(SUM(D48:F48)&gt;0,"重複あり","候補"))))</x:f>
      </x:c>
      <x:c r="I48" s="2"/>
    </x:row>
    <x:row r="49" ht="24" customHeight="1">
      <x:c r="A49" s="6" t="str">
        <x:f>IF($B$20&lt;&gt;"入力OK","",IF((CEILING(ROUND($B$9*1440,0),$F$9)+(49-25)*$F$9)&gt;=ROUND($D$9*1440,0),"",(CEILING(ROUND($B$9*1440,0),$F$9)+(49-25)*$F$9)/1440))</x:f>
      </x:c>
      <x:c r="B49" s="6" t="str">
        <x:f>IF(A49="","",A49-$C$17/1440)</x:f>
      </x:c>
      <x:c r="C49" s="6" t="str">
        <x:f>IF(A49="","",A49+($B$17+$D$17)/1440)</x:f>
      </x:c>
      <x:c r="D49" s="18" t="str">
        <x:f>IF(A49="","",IF($B$12=0,0,MAX(0,MIN(ROUND($C49*1440,0),ROUND($H$12*1440,0))-MAX(ROUND($B49*1440,0),ROUND($G$12*1440,0)))))</x:f>
      </x:c>
      <x:c r="E49" s="18" t="str">
        <x:f>IF(A49="","",IF($B$13=0,0,MAX(0,MIN(ROUND($C49*1440,0),ROUND($H$13*1440,0))-MAX(ROUND($B49*1440,0),ROUND($G$13*1440,0)))))</x:f>
      </x:c>
      <x:c r="F49" s="18" t="str">
        <x:f>IF(A49="","",IF($B$14=0,0,MAX(0,MIN(ROUND($C49*1440,0),ROUND($H$14*1440,0))-MAX(ROUND($B49*1440,0),ROUND($G$14*1440,0)))))</x:f>
      </x:c>
      <x:c r="G49" s="2" t="str">
        <x:f>IF(A49="","",IF(OR(ROUND(B49*1440,0)&lt;ROUND($B$9*1440,0),ROUND(C49*1440,0)&gt;ROUND($D$9*1440,0)),"時間外","時間内"))</x:f>
      </x:c>
      <x:c r="H49" s="2" t="str">
        <x:f>IF($B$20&lt;&gt;"入力OK","入力待ち",IF(A49="","",IF(G49="時間外","対象外",IF(SUM(D49:F49)&gt;0,"重複あり","候補"))))</x:f>
      </x:c>
      <x:c r="I49" s="2"/>
    </x:row>
    <x:row r="50" ht="24" customHeight="1">
      <x:c r="A50" s="6" t="str">
        <x:f>IF($B$20&lt;&gt;"入力OK","",IF((CEILING(ROUND($B$9*1440,0),$F$9)+(50-25)*$F$9)&gt;=ROUND($D$9*1440,0),"",(CEILING(ROUND($B$9*1440,0),$F$9)+(50-25)*$F$9)/1440))</x:f>
      </x:c>
      <x:c r="B50" s="6" t="str">
        <x:f>IF(A50="","",A50-$C$17/1440)</x:f>
      </x:c>
      <x:c r="C50" s="6" t="str">
        <x:f>IF(A50="","",A50+($B$17+$D$17)/1440)</x:f>
      </x:c>
      <x:c r="D50" s="18" t="str">
        <x:f>IF(A50="","",IF($B$12=0,0,MAX(0,MIN(ROUND($C50*1440,0),ROUND($H$12*1440,0))-MAX(ROUND($B50*1440,0),ROUND($G$12*1440,0)))))</x:f>
      </x:c>
      <x:c r="E50" s="18" t="str">
        <x:f>IF(A50="","",IF($B$13=0,0,MAX(0,MIN(ROUND($C50*1440,0),ROUND($H$13*1440,0))-MAX(ROUND($B50*1440,0),ROUND($G$13*1440,0)))))</x:f>
      </x:c>
      <x:c r="F50" s="18" t="str">
        <x:f>IF(A50="","",IF($B$14=0,0,MAX(0,MIN(ROUND($C50*1440,0),ROUND($H$14*1440,0))-MAX(ROUND($B50*1440,0),ROUND($G$14*1440,0)))))</x:f>
      </x:c>
      <x:c r="G50" s="2" t="str">
        <x:f>IF(A50="","",IF(OR(ROUND(B50*1440,0)&lt;ROUND($B$9*1440,0),ROUND(C50*1440,0)&gt;ROUND($D$9*1440,0)),"時間外","時間内"))</x:f>
      </x:c>
      <x:c r="H50" s="2" t="str">
        <x:f>IF($B$20&lt;&gt;"入力OK","入力待ち",IF(A50="","",IF(G50="時間外","対象外",IF(SUM(D50:F50)&gt;0,"重複あり","候補"))))</x:f>
      </x:c>
      <x:c r="I50" s="2"/>
    </x:row>
    <x:row r="51" ht="24" customHeight="1">
      <x:c r="A51" s="6" t="str">
        <x:f>IF($B$20&lt;&gt;"入力OK","",IF((CEILING(ROUND($B$9*1440,0),$F$9)+(51-25)*$F$9)&gt;=ROUND($D$9*1440,0),"",(CEILING(ROUND($B$9*1440,0),$F$9)+(51-25)*$F$9)/1440))</x:f>
      </x:c>
      <x:c r="B51" s="6" t="str">
        <x:f>IF(A51="","",A51-$C$17/1440)</x:f>
      </x:c>
      <x:c r="C51" s="6" t="str">
        <x:f>IF(A51="","",A51+($B$17+$D$17)/1440)</x:f>
      </x:c>
      <x:c r="D51" s="18" t="str">
        <x:f>IF(A51="","",IF($B$12=0,0,MAX(0,MIN(ROUND($C51*1440,0),ROUND($H$12*1440,0))-MAX(ROUND($B51*1440,0),ROUND($G$12*1440,0)))))</x:f>
      </x:c>
      <x:c r="E51" s="18" t="str">
        <x:f>IF(A51="","",IF($B$13=0,0,MAX(0,MIN(ROUND($C51*1440,0),ROUND($H$13*1440,0))-MAX(ROUND($B51*1440,0),ROUND($G$13*1440,0)))))</x:f>
      </x:c>
      <x:c r="F51" s="18" t="str">
        <x:f>IF(A51="","",IF($B$14=0,0,MAX(0,MIN(ROUND($C51*1440,0),ROUND($H$14*1440,0))-MAX(ROUND($B51*1440,0),ROUND($G$14*1440,0)))))</x:f>
      </x:c>
      <x:c r="G51" s="2" t="str">
        <x:f>IF(A51="","",IF(OR(ROUND(B51*1440,0)&lt;ROUND($B$9*1440,0),ROUND(C51*1440,0)&gt;ROUND($D$9*1440,0)),"時間外","時間内"))</x:f>
      </x:c>
      <x:c r="H51" s="2" t="str">
        <x:f>IF($B$20&lt;&gt;"入力OK","入力待ち",IF(A51="","",IF(G51="時間外","対象外",IF(SUM(D51:F51)&gt;0,"重複あり","候補"))))</x:f>
      </x:c>
      <x:c r="I51" s="2"/>
    </x:row>
    <x:row r="52" ht="24" customHeight="1">
      <x:c r="A52" s="6" t="str">
        <x:f>IF($B$20&lt;&gt;"入力OK","",IF((CEILING(ROUND($B$9*1440,0),$F$9)+(52-25)*$F$9)&gt;=ROUND($D$9*1440,0),"",(CEILING(ROUND($B$9*1440,0),$F$9)+(52-25)*$F$9)/1440))</x:f>
      </x:c>
      <x:c r="B52" s="6" t="str">
        <x:f>IF(A52="","",A52-$C$17/1440)</x:f>
      </x:c>
      <x:c r="C52" s="6" t="str">
        <x:f>IF(A52="","",A52+($B$17+$D$17)/1440)</x:f>
      </x:c>
      <x:c r="D52" s="18" t="str">
        <x:f>IF(A52="","",IF($B$12=0,0,MAX(0,MIN(ROUND($C52*1440,0),ROUND($H$12*1440,0))-MAX(ROUND($B52*1440,0),ROUND($G$12*1440,0)))))</x:f>
      </x:c>
      <x:c r="E52" s="18" t="str">
        <x:f>IF(A52="","",IF($B$13=0,0,MAX(0,MIN(ROUND($C52*1440,0),ROUND($H$13*1440,0))-MAX(ROUND($B52*1440,0),ROUND($G$13*1440,0)))))</x:f>
      </x:c>
      <x:c r="F52" s="18" t="str">
        <x:f>IF(A52="","",IF($B$14=0,0,MAX(0,MIN(ROUND($C52*1440,0),ROUND($H$14*1440,0))-MAX(ROUND($B52*1440,0),ROUND($G$14*1440,0)))))</x:f>
      </x:c>
      <x:c r="G52" s="2" t="str">
        <x:f>IF(A52="","",IF(OR(ROUND(B52*1440,0)&lt;ROUND($B$9*1440,0),ROUND(C52*1440,0)&gt;ROUND($D$9*1440,0)),"時間外","時間内"))</x:f>
      </x:c>
      <x:c r="H52" s="2" t="str">
        <x:f>IF($B$20&lt;&gt;"入力OK","入力待ち",IF(A52="","",IF(G52="時間外","対象外",IF(SUM(D52:F52)&gt;0,"重複あり","候補"))))</x:f>
      </x:c>
      <x:c r="I52" s="2"/>
    </x:row>
    <x:row r="53" ht="24" customHeight="1">
      <x:c r="A53" s="6" t="str">
        <x:f>IF($B$20&lt;&gt;"入力OK","",IF((CEILING(ROUND($B$9*1440,0),$F$9)+(53-25)*$F$9)&gt;=ROUND($D$9*1440,0),"",(CEILING(ROUND($B$9*1440,0),$F$9)+(53-25)*$F$9)/1440))</x:f>
      </x:c>
      <x:c r="B53" s="6" t="str">
        <x:f>IF(A53="","",A53-$C$17/1440)</x:f>
      </x:c>
      <x:c r="C53" s="6" t="str">
        <x:f>IF(A53="","",A53+($B$17+$D$17)/1440)</x:f>
      </x:c>
      <x:c r="D53" s="18" t="str">
        <x:f>IF(A53="","",IF($B$12=0,0,MAX(0,MIN(ROUND($C53*1440,0),ROUND($H$12*1440,0))-MAX(ROUND($B53*1440,0),ROUND($G$12*1440,0)))))</x:f>
      </x:c>
      <x:c r="E53" s="18" t="str">
        <x:f>IF(A53="","",IF($B$13=0,0,MAX(0,MIN(ROUND($C53*1440,0),ROUND($H$13*1440,0))-MAX(ROUND($B53*1440,0),ROUND($G$13*1440,0)))))</x:f>
      </x:c>
      <x:c r="F53" s="18" t="str">
        <x:f>IF(A53="","",IF($B$14=0,0,MAX(0,MIN(ROUND($C53*1440,0),ROUND($H$14*1440,0))-MAX(ROUND($B53*1440,0),ROUND($G$14*1440,0)))))</x:f>
      </x:c>
      <x:c r="G53" s="2" t="str">
        <x:f>IF(A53="","",IF(OR(ROUND(B53*1440,0)&lt;ROUND($B$9*1440,0),ROUND(C53*1440,0)&gt;ROUND($D$9*1440,0)),"時間外","時間内"))</x:f>
      </x:c>
      <x:c r="H53" s="2" t="str">
        <x:f>IF($B$20&lt;&gt;"入力OK","入力待ち",IF(A53="","",IF(G53="時間外","対象外",IF(SUM(D53:F53)&gt;0,"重複あり","候補"))))</x:f>
      </x:c>
      <x:c r="I53" s="2"/>
    </x:row>
    <x:row r="54" ht="24" customHeight="1">
      <x:c r="A54" s="6" t="str">
        <x:f>IF($B$20&lt;&gt;"入力OK","",IF((CEILING(ROUND($B$9*1440,0),$F$9)+(54-25)*$F$9)&gt;=ROUND($D$9*1440,0),"",(CEILING(ROUND($B$9*1440,0),$F$9)+(54-25)*$F$9)/1440))</x:f>
      </x:c>
      <x:c r="B54" s="6" t="str">
        <x:f>IF(A54="","",A54-$C$17/1440)</x:f>
      </x:c>
      <x:c r="C54" s="6" t="str">
        <x:f>IF(A54="","",A54+($B$17+$D$17)/1440)</x:f>
      </x:c>
      <x:c r="D54" s="18" t="str">
        <x:f>IF(A54="","",IF($B$12=0,0,MAX(0,MIN(ROUND($C54*1440,0),ROUND($H$12*1440,0))-MAX(ROUND($B54*1440,0),ROUND($G$12*1440,0)))))</x:f>
      </x:c>
      <x:c r="E54" s="18" t="str">
        <x:f>IF(A54="","",IF($B$13=0,0,MAX(0,MIN(ROUND($C54*1440,0),ROUND($H$13*1440,0))-MAX(ROUND($B54*1440,0),ROUND($G$13*1440,0)))))</x:f>
      </x:c>
      <x:c r="F54" s="18" t="str">
        <x:f>IF(A54="","",IF($B$14=0,0,MAX(0,MIN(ROUND($C54*1440,0),ROUND($H$14*1440,0))-MAX(ROUND($B54*1440,0),ROUND($G$14*1440,0)))))</x:f>
      </x:c>
      <x:c r="G54" s="2" t="str">
        <x:f>IF(A54="","",IF(OR(ROUND(B54*1440,0)&lt;ROUND($B$9*1440,0),ROUND(C54*1440,0)&gt;ROUND($D$9*1440,0)),"時間外","時間内"))</x:f>
      </x:c>
      <x:c r="H54" s="2" t="str">
        <x:f>IF($B$20&lt;&gt;"入力OK","入力待ち",IF(A54="","",IF(G54="時間外","対象外",IF(SUM(D54:F54)&gt;0,"重複あり","候補"))))</x:f>
      </x:c>
      <x:c r="I54" s="2"/>
    </x:row>
    <x:row r="55" ht="24" customHeight="1">
      <x:c r="A55" s="6" t="str">
        <x:f>IF($B$20&lt;&gt;"入力OK","",IF((CEILING(ROUND($B$9*1440,0),$F$9)+(55-25)*$F$9)&gt;=ROUND($D$9*1440,0),"",(CEILING(ROUND($B$9*1440,0),$F$9)+(55-25)*$F$9)/1440))</x:f>
      </x:c>
      <x:c r="B55" s="6" t="str">
        <x:f>IF(A55="","",A55-$C$17/1440)</x:f>
      </x:c>
      <x:c r="C55" s="6" t="str">
        <x:f>IF(A55="","",A55+($B$17+$D$17)/1440)</x:f>
      </x:c>
      <x:c r="D55" s="18" t="str">
        <x:f>IF(A55="","",IF($B$12=0,0,MAX(0,MIN(ROUND($C55*1440,0),ROUND($H$12*1440,0))-MAX(ROUND($B55*1440,0),ROUND($G$12*1440,0)))))</x:f>
      </x:c>
      <x:c r="E55" s="18" t="str">
        <x:f>IF(A55="","",IF($B$13=0,0,MAX(0,MIN(ROUND($C55*1440,0),ROUND($H$13*1440,0))-MAX(ROUND($B55*1440,0),ROUND($G$13*1440,0)))))</x:f>
      </x:c>
      <x:c r="F55" s="18" t="str">
        <x:f>IF(A55="","",IF($B$14=0,0,MAX(0,MIN(ROUND($C55*1440,0),ROUND($H$14*1440,0))-MAX(ROUND($B55*1440,0),ROUND($G$14*1440,0)))))</x:f>
      </x:c>
      <x:c r="G55" s="2" t="str">
        <x:f>IF(A55="","",IF(OR(ROUND(B55*1440,0)&lt;ROUND($B$9*1440,0),ROUND(C55*1440,0)&gt;ROUND($D$9*1440,0)),"時間外","時間内"))</x:f>
      </x:c>
      <x:c r="H55" s="2" t="str">
        <x:f>IF($B$20&lt;&gt;"入力OK","入力待ち",IF(A55="","",IF(G55="時間外","対象外",IF(SUM(D55:F55)&gt;0,"重複あり","候補"))))</x:f>
      </x:c>
      <x:c r="I55" s="2"/>
    </x:row>
    <x:row r="56" ht="24" customHeight="1">
      <x:c r="A56" s="6" t="str">
        <x:f>IF($B$20&lt;&gt;"入力OK","",IF((CEILING(ROUND($B$9*1440,0),$F$9)+(56-25)*$F$9)&gt;=ROUND($D$9*1440,0),"",(CEILING(ROUND($B$9*1440,0),$F$9)+(56-25)*$F$9)/1440))</x:f>
      </x:c>
      <x:c r="B56" s="6" t="str">
        <x:f>IF(A56="","",A56-$C$17/1440)</x:f>
      </x:c>
      <x:c r="C56" s="6" t="str">
        <x:f>IF(A56="","",A56+($B$17+$D$17)/1440)</x:f>
      </x:c>
      <x:c r="D56" s="18" t="str">
        <x:f>IF(A56="","",IF($B$12=0,0,MAX(0,MIN(ROUND($C56*1440,0),ROUND($H$12*1440,0))-MAX(ROUND($B56*1440,0),ROUND($G$12*1440,0)))))</x:f>
      </x:c>
      <x:c r="E56" s="18" t="str">
        <x:f>IF(A56="","",IF($B$13=0,0,MAX(0,MIN(ROUND($C56*1440,0),ROUND($H$13*1440,0))-MAX(ROUND($B56*1440,0),ROUND($G$13*1440,0)))))</x:f>
      </x:c>
      <x:c r="F56" s="18" t="str">
        <x:f>IF(A56="","",IF($B$14=0,0,MAX(0,MIN(ROUND($C56*1440,0),ROUND($H$14*1440,0))-MAX(ROUND($B56*1440,0),ROUND($G$14*1440,0)))))</x:f>
      </x:c>
      <x:c r="G56" s="2" t="str">
        <x:f>IF(A56="","",IF(OR(ROUND(B56*1440,0)&lt;ROUND($B$9*1440,0),ROUND(C56*1440,0)&gt;ROUND($D$9*1440,0)),"時間外","時間内"))</x:f>
      </x:c>
      <x:c r="H56" s="2" t="str">
        <x:f>IF($B$20&lt;&gt;"入力OK","入力待ち",IF(A56="","",IF(G56="時間外","対象外",IF(SUM(D56:F56)&gt;0,"重複あり","候補"))))</x:f>
      </x:c>
      <x:c r="I56" s="2"/>
    </x:row>
    <x:row r="57" ht="24" customHeight="1">
      <x:c r="A57" s="6" t="str">
        <x:f>IF($B$20&lt;&gt;"入力OK","",IF((CEILING(ROUND($B$9*1440,0),$F$9)+(57-25)*$F$9)&gt;=ROUND($D$9*1440,0),"",(CEILING(ROUND($B$9*1440,0),$F$9)+(57-25)*$F$9)/1440))</x:f>
      </x:c>
      <x:c r="B57" s="6" t="str">
        <x:f>IF(A57="","",A57-$C$17/1440)</x:f>
      </x:c>
      <x:c r="C57" s="6" t="str">
        <x:f>IF(A57="","",A57+($B$17+$D$17)/1440)</x:f>
      </x:c>
      <x:c r="D57" s="18" t="str">
        <x:f>IF(A57="","",IF($B$12=0,0,MAX(0,MIN(ROUND($C57*1440,0),ROUND($H$12*1440,0))-MAX(ROUND($B57*1440,0),ROUND($G$12*1440,0)))))</x:f>
      </x:c>
      <x:c r="E57" s="18" t="str">
        <x:f>IF(A57="","",IF($B$13=0,0,MAX(0,MIN(ROUND($C57*1440,0),ROUND($H$13*1440,0))-MAX(ROUND($B57*1440,0),ROUND($G$13*1440,0)))))</x:f>
      </x:c>
      <x:c r="F57" s="18" t="str">
        <x:f>IF(A57="","",IF($B$14=0,0,MAX(0,MIN(ROUND($C57*1440,0),ROUND($H$14*1440,0))-MAX(ROUND($B57*1440,0),ROUND($G$14*1440,0)))))</x:f>
      </x:c>
      <x:c r="G57" s="2" t="str">
        <x:f>IF(A57="","",IF(OR(ROUND(B57*1440,0)&lt;ROUND($B$9*1440,0),ROUND(C57*1440,0)&gt;ROUND($D$9*1440,0)),"時間外","時間内"))</x:f>
      </x:c>
      <x:c r="H57" s="2" t="str">
        <x:f>IF($B$20&lt;&gt;"入力OK","入力待ち",IF(A57="","",IF(G57="時間外","対象外",IF(SUM(D57:F57)&gt;0,"重複あり","候補"))))</x:f>
      </x:c>
      <x:c r="I57" s="2"/>
    </x:row>
    <x:row r="58" ht="24" customHeight="1">
      <x:c r="A58" s="6" t="str">
        <x:f>IF($B$20&lt;&gt;"入力OK","",IF((CEILING(ROUND($B$9*1440,0),$F$9)+(58-25)*$F$9)&gt;=ROUND($D$9*1440,0),"",(CEILING(ROUND($B$9*1440,0),$F$9)+(58-25)*$F$9)/1440))</x:f>
      </x:c>
      <x:c r="B58" s="6" t="str">
        <x:f>IF(A58="","",A58-$C$17/1440)</x:f>
      </x:c>
      <x:c r="C58" s="6" t="str">
        <x:f>IF(A58="","",A58+($B$17+$D$17)/1440)</x:f>
      </x:c>
      <x:c r="D58" s="18" t="str">
        <x:f>IF(A58="","",IF($B$12=0,0,MAX(0,MIN(ROUND($C58*1440,0),ROUND($H$12*1440,0))-MAX(ROUND($B58*1440,0),ROUND($G$12*1440,0)))))</x:f>
      </x:c>
      <x:c r="E58" s="18" t="str">
        <x:f>IF(A58="","",IF($B$13=0,0,MAX(0,MIN(ROUND($C58*1440,0),ROUND($H$13*1440,0))-MAX(ROUND($B58*1440,0),ROUND($G$13*1440,0)))))</x:f>
      </x:c>
      <x:c r="F58" s="18" t="str">
        <x:f>IF(A58="","",IF($B$14=0,0,MAX(0,MIN(ROUND($C58*1440,0),ROUND($H$14*1440,0))-MAX(ROUND($B58*1440,0),ROUND($G$14*1440,0)))))</x:f>
      </x:c>
      <x:c r="G58" s="2" t="str">
        <x:f>IF(A58="","",IF(OR(ROUND(B58*1440,0)&lt;ROUND($B$9*1440,0),ROUND(C58*1440,0)&gt;ROUND($D$9*1440,0)),"時間外","時間内"))</x:f>
      </x:c>
      <x:c r="H58" s="2" t="str">
        <x:f>IF($B$20&lt;&gt;"入力OK","入力待ち",IF(A58="","",IF(G58="時間外","対象外",IF(SUM(D58:F58)&gt;0,"重複あり","候補"))))</x:f>
      </x:c>
      <x:c r="I58" s="2"/>
    </x:row>
    <x:row r="59" ht="24" customHeight="1">
      <x:c r="A59" s="6" t="str">
        <x:f>IF($B$20&lt;&gt;"入力OK","",IF((CEILING(ROUND($B$9*1440,0),$F$9)+(59-25)*$F$9)&gt;=ROUND($D$9*1440,0),"",(CEILING(ROUND($B$9*1440,0),$F$9)+(59-25)*$F$9)/1440))</x:f>
      </x:c>
      <x:c r="B59" s="6" t="str">
        <x:f>IF(A59="","",A59-$C$17/1440)</x:f>
      </x:c>
      <x:c r="C59" s="6" t="str">
        <x:f>IF(A59="","",A59+($B$17+$D$17)/1440)</x:f>
      </x:c>
      <x:c r="D59" s="18" t="str">
        <x:f>IF(A59="","",IF($B$12=0,0,MAX(0,MIN(ROUND($C59*1440,0),ROUND($H$12*1440,0))-MAX(ROUND($B59*1440,0),ROUND($G$12*1440,0)))))</x:f>
      </x:c>
      <x:c r="E59" s="18" t="str">
        <x:f>IF(A59="","",IF($B$13=0,0,MAX(0,MIN(ROUND($C59*1440,0),ROUND($H$13*1440,0))-MAX(ROUND($B59*1440,0),ROUND($G$13*1440,0)))))</x:f>
      </x:c>
      <x:c r="F59" s="18" t="str">
        <x:f>IF(A59="","",IF($B$14=0,0,MAX(0,MIN(ROUND($C59*1440,0),ROUND($H$14*1440,0))-MAX(ROUND($B59*1440,0),ROUND($G$14*1440,0)))))</x:f>
      </x:c>
      <x:c r="G59" s="2" t="str">
        <x:f>IF(A59="","",IF(OR(ROUND(B59*1440,0)&lt;ROUND($B$9*1440,0),ROUND(C59*1440,0)&gt;ROUND($D$9*1440,0)),"時間外","時間内"))</x:f>
      </x:c>
      <x:c r="H59" s="2" t="str">
        <x:f>IF($B$20&lt;&gt;"入力OK","入力待ち",IF(A59="","",IF(G59="時間外","対象外",IF(SUM(D59:F59)&gt;0,"重複あり","候補"))))</x:f>
      </x:c>
      <x:c r="I59" s="2"/>
    </x:row>
    <x:row r="60" ht="24" customHeight="1">
      <x:c r="A60" s="6" t="str">
        <x:f>IF($B$20&lt;&gt;"入力OK","",IF((CEILING(ROUND($B$9*1440,0),$F$9)+(60-25)*$F$9)&gt;=ROUND($D$9*1440,0),"",(CEILING(ROUND($B$9*1440,0),$F$9)+(60-25)*$F$9)/1440))</x:f>
      </x:c>
      <x:c r="B60" s="6" t="str">
        <x:f>IF(A60="","",A60-$C$17/1440)</x:f>
      </x:c>
      <x:c r="C60" s="6" t="str">
        <x:f>IF(A60="","",A60+($B$17+$D$17)/1440)</x:f>
      </x:c>
      <x:c r="D60" s="18" t="str">
        <x:f>IF(A60="","",IF($B$12=0,0,MAX(0,MIN(ROUND($C60*1440,0),ROUND($H$12*1440,0))-MAX(ROUND($B60*1440,0),ROUND($G$12*1440,0)))))</x:f>
      </x:c>
      <x:c r="E60" s="18" t="str">
        <x:f>IF(A60="","",IF($B$13=0,0,MAX(0,MIN(ROUND($C60*1440,0),ROUND($H$13*1440,0))-MAX(ROUND($B60*1440,0),ROUND($G$13*1440,0)))))</x:f>
      </x:c>
      <x:c r="F60" s="18" t="str">
        <x:f>IF(A60="","",IF($B$14=0,0,MAX(0,MIN(ROUND($C60*1440,0),ROUND($H$14*1440,0))-MAX(ROUND($B60*1440,0),ROUND($G$14*1440,0)))))</x:f>
      </x:c>
      <x:c r="G60" s="2" t="str">
        <x:f>IF(A60="","",IF(OR(ROUND(B60*1440,0)&lt;ROUND($B$9*1440,0),ROUND(C60*1440,0)&gt;ROUND($D$9*1440,0)),"時間外","時間内"))</x:f>
      </x:c>
      <x:c r="H60" s="2" t="str">
        <x:f>IF($B$20&lt;&gt;"入力OK","入力待ち",IF(A60="","",IF(G60="時間外","対象外",IF(SUM(D60:F60)&gt;0,"重複あり","候補"))))</x:f>
      </x:c>
      <x:c r="I60" s="2"/>
    </x:row>
    <x:row r="61" ht="24" customHeight="1">
      <x:c r="A61" s="6" t="str">
        <x:f>IF($B$20&lt;&gt;"入力OK","",IF((CEILING(ROUND($B$9*1440,0),$F$9)+(61-25)*$F$9)&gt;=ROUND($D$9*1440,0),"",(CEILING(ROUND($B$9*1440,0),$F$9)+(61-25)*$F$9)/1440))</x:f>
      </x:c>
      <x:c r="B61" s="6" t="str">
        <x:f>IF(A61="","",A61-$C$17/1440)</x:f>
      </x:c>
      <x:c r="C61" s="6" t="str">
        <x:f>IF(A61="","",A61+($B$17+$D$17)/1440)</x:f>
      </x:c>
      <x:c r="D61" s="18" t="str">
        <x:f>IF(A61="","",IF($B$12=0,0,MAX(0,MIN(ROUND($C61*1440,0),ROUND($H$12*1440,0))-MAX(ROUND($B61*1440,0),ROUND($G$12*1440,0)))))</x:f>
      </x:c>
      <x:c r="E61" s="18" t="str">
        <x:f>IF(A61="","",IF($B$13=0,0,MAX(0,MIN(ROUND($C61*1440,0),ROUND($H$13*1440,0))-MAX(ROUND($B61*1440,0),ROUND($G$13*1440,0)))))</x:f>
      </x:c>
      <x:c r="F61" s="18" t="str">
        <x:f>IF(A61="","",IF($B$14=0,0,MAX(0,MIN(ROUND($C61*1440,0),ROUND($H$14*1440,0))-MAX(ROUND($B61*1440,0),ROUND($G$14*1440,0)))))</x:f>
      </x:c>
      <x:c r="G61" s="2" t="str">
        <x:f>IF(A61="","",IF(OR(ROUND(B61*1440,0)&lt;ROUND($B$9*1440,0),ROUND(C61*1440,0)&gt;ROUND($D$9*1440,0)),"時間外","時間内"))</x:f>
      </x:c>
      <x:c r="H61" s="2" t="str">
        <x:f>IF($B$20&lt;&gt;"入力OK","入力待ち",IF(A61="","",IF(G61="時間外","対象外",IF(SUM(D61:F61)&gt;0,"重複あり","候補"))))</x:f>
      </x:c>
      <x:c r="I61" s="2"/>
    </x:row>
    <x:row r="62" ht="24" customHeight="1">
      <x:c r="A62" s="6" t="str">
        <x:f>IF($B$20&lt;&gt;"入力OK","",IF((CEILING(ROUND($B$9*1440,0),$F$9)+(62-25)*$F$9)&gt;=ROUND($D$9*1440,0),"",(CEILING(ROUND($B$9*1440,0),$F$9)+(62-25)*$F$9)/1440))</x:f>
      </x:c>
      <x:c r="B62" s="6" t="str">
        <x:f>IF(A62="","",A62-$C$17/1440)</x:f>
      </x:c>
      <x:c r="C62" s="6" t="str">
        <x:f>IF(A62="","",A62+($B$17+$D$17)/1440)</x:f>
      </x:c>
      <x:c r="D62" s="18" t="str">
        <x:f>IF(A62="","",IF($B$12=0,0,MAX(0,MIN(ROUND($C62*1440,0),ROUND($H$12*1440,0))-MAX(ROUND($B62*1440,0),ROUND($G$12*1440,0)))))</x:f>
      </x:c>
      <x:c r="E62" s="18" t="str">
        <x:f>IF(A62="","",IF($B$13=0,0,MAX(0,MIN(ROUND($C62*1440,0),ROUND($H$13*1440,0))-MAX(ROUND($B62*1440,0),ROUND($G$13*1440,0)))))</x:f>
      </x:c>
      <x:c r="F62" s="18" t="str">
        <x:f>IF(A62="","",IF($B$14=0,0,MAX(0,MIN(ROUND($C62*1440,0),ROUND($H$14*1440,0))-MAX(ROUND($B62*1440,0),ROUND($G$14*1440,0)))))</x:f>
      </x:c>
      <x:c r="G62" s="2" t="str">
        <x:f>IF(A62="","",IF(OR(ROUND(B62*1440,0)&lt;ROUND($B$9*1440,0),ROUND(C62*1440,0)&gt;ROUND($D$9*1440,0)),"時間外","時間内"))</x:f>
      </x:c>
      <x:c r="H62" s="2" t="str">
        <x:f>IF($B$20&lt;&gt;"入力OK","入力待ち",IF(A62="","",IF(G62="時間外","対象外",IF(SUM(D62:F62)&gt;0,"重複あり","候補"))))</x:f>
      </x:c>
      <x:c r="I62" s="2"/>
    </x:row>
    <x:row r="63" ht="24" customHeight="1">
      <x:c r="A63" s="6" t="str">
        <x:f>IF($B$20&lt;&gt;"入力OK","",IF((CEILING(ROUND($B$9*1440,0),$F$9)+(63-25)*$F$9)&gt;=ROUND($D$9*1440,0),"",(CEILING(ROUND($B$9*1440,0),$F$9)+(63-25)*$F$9)/1440))</x:f>
      </x:c>
      <x:c r="B63" s="6" t="str">
        <x:f>IF(A63="","",A63-$C$17/1440)</x:f>
      </x:c>
      <x:c r="C63" s="6" t="str">
        <x:f>IF(A63="","",A63+($B$17+$D$17)/1440)</x:f>
      </x:c>
      <x:c r="D63" s="18" t="str">
        <x:f>IF(A63="","",IF($B$12=0,0,MAX(0,MIN(ROUND($C63*1440,0),ROUND($H$12*1440,0))-MAX(ROUND($B63*1440,0),ROUND($G$12*1440,0)))))</x:f>
      </x:c>
      <x:c r="E63" s="18" t="str">
        <x:f>IF(A63="","",IF($B$13=0,0,MAX(0,MIN(ROUND($C63*1440,0),ROUND($H$13*1440,0))-MAX(ROUND($B63*1440,0),ROUND($G$13*1440,0)))))</x:f>
      </x:c>
      <x:c r="F63" s="18" t="str">
        <x:f>IF(A63="","",IF($B$14=0,0,MAX(0,MIN(ROUND($C63*1440,0),ROUND($H$14*1440,0))-MAX(ROUND($B63*1440,0),ROUND($G$14*1440,0)))))</x:f>
      </x:c>
      <x:c r="G63" s="2" t="str">
        <x:f>IF(A63="","",IF(OR(ROUND(B63*1440,0)&lt;ROUND($B$9*1440,0),ROUND(C63*1440,0)&gt;ROUND($D$9*1440,0)),"時間外","時間内"))</x:f>
      </x:c>
      <x:c r="H63" s="2" t="str">
        <x:f>IF($B$20&lt;&gt;"入力OK","入力待ち",IF(A63="","",IF(G63="時間外","対象外",IF(SUM(D63:F63)&gt;0,"重複あり","候補"))))</x:f>
      </x:c>
      <x:c r="I63" s="2"/>
    </x:row>
    <x:row r="64" ht="24" customHeight="1">
      <x:c r="A64" s="6" t="str">
        <x:f>IF($B$20&lt;&gt;"入力OK","",IF((CEILING(ROUND($B$9*1440,0),$F$9)+(64-25)*$F$9)&gt;=ROUND($D$9*1440,0),"",(CEILING(ROUND($B$9*1440,0),$F$9)+(64-25)*$F$9)/1440))</x:f>
      </x:c>
      <x:c r="B64" s="6" t="str">
        <x:f>IF(A64="","",A64-$C$17/1440)</x:f>
      </x:c>
      <x:c r="C64" s="6" t="str">
        <x:f>IF(A64="","",A64+($B$17+$D$17)/1440)</x:f>
      </x:c>
      <x:c r="D64" s="18" t="str">
        <x:f>IF(A64="","",IF($B$12=0,0,MAX(0,MIN(ROUND($C64*1440,0),ROUND($H$12*1440,0))-MAX(ROUND($B64*1440,0),ROUND($G$12*1440,0)))))</x:f>
      </x:c>
      <x:c r="E64" s="18" t="str">
        <x:f>IF(A64="","",IF($B$13=0,0,MAX(0,MIN(ROUND($C64*1440,0),ROUND($H$13*1440,0))-MAX(ROUND($B64*1440,0),ROUND($G$13*1440,0)))))</x:f>
      </x:c>
      <x:c r="F64" s="18" t="str">
        <x:f>IF(A64="","",IF($B$14=0,0,MAX(0,MIN(ROUND($C64*1440,0),ROUND($H$14*1440,0))-MAX(ROUND($B64*1440,0),ROUND($G$14*1440,0)))))</x:f>
      </x:c>
      <x:c r="G64" s="2" t="str">
        <x:f>IF(A64="","",IF(OR(ROUND(B64*1440,0)&lt;ROUND($B$9*1440,0),ROUND(C64*1440,0)&gt;ROUND($D$9*1440,0)),"時間外","時間内"))</x:f>
      </x:c>
      <x:c r="H64" s="2" t="str">
        <x:f>IF($B$20&lt;&gt;"入力OK","入力待ち",IF(A64="","",IF(G64="時間外","対象外",IF(SUM(D64:F64)&gt;0,"重複あり","候補"))))</x:f>
      </x:c>
      <x:c r="I64" s="2"/>
    </x:row>
    <x:row r="65" ht="24" customHeight="1">
      <x:c r="A65" s="6" t="str">
        <x:f>IF($B$20&lt;&gt;"入力OK","",IF((CEILING(ROUND($B$9*1440,0),$F$9)+(65-25)*$F$9)&gt;=ROUND($D$9*1440,0),"",(CEILING(ROUND($B$9*1440,0),$F$9)+(65-25)*$F$9)/1440))</x:f>
      </x:c>
      <x:c r="B65" s="6" t="str">
        <x:f>IF(A65="","",A65-$C$17/1440)</x:f>
      </x:c>
      <x:c r="C65" s="6" t="str">
        <x:f>IF(A65="","",A65+($B$17+$D$17)/1440)</x:f>
      </x:c>
      <x:c r="D65" s="18" t="str">
        <x:f>IF(A65="","",IF($B$12=0,0,MAX(0,MIN(ROUND($C65*1440,0),ROUND($H$12*1440,0))-MAX(ROUND($B65*1440,0),ROUND($G$12*1440,0)))))</x:f>
      </x:c>
      <x:c r="E65" s="18" t="str">
        <x:f>IF(A65="","",IF($B$13=0,0,MAX(0,MIN(ROUND($C65*1440,0),ROUND($H$13*1440,0))-MAX(ROUND($B65*1440,0),ROUND($G$13*1440,0)))))</x:f>
      </x:c>
      <x:c r="F65" s="18" t="str">
        <x:f>IF(A65="","",IF($B$14=0,0,MAX(0,MIN(ROUND($C65*1440,0),ROUND($H$14*1440,0))-MAX(ROUND($B65*1440,0),ROUND($G$14*1440,0)))))</x:f>
      </x:c>
      <x:c r="G65" s="2" t="str">
        <x:f>IF(A65="","",IF(OR(ROUND(B65*1440,0)&lt;ROUND($B$9*1440,0),ROUND(C65*1440,0)&gt;ROUND($D$9*1440,0)),"時間外","時間内"))</x:f>
      </x:c>
      <x:c r="H65" s="2" t="str">
        <x:f>IF($B$20&lt;&gt;"入力OK","入力待ち",IF(A65="","",IF(G65="時間外","対象外",IF(SUM(D65:F65)&gt;0,"重複あり","候補"))))</x:f>
      </x:c>
      <x:c r="I65" s="2"/>
    </x:row>
    <x:row r="66" ht="24" customHeight="1">
      <x:c r="A66" s="6" t="str">
        <x:f>IF($B$20&lt;&gt;"入力OK","",IF((CEILING(ROUND($B$9*1440,0),$F$9)+(66-25)*$F$9)&gt;=ROUND($D$9*1440,0),"",(CEILING(ROUND($B$9*1440,0),$F$9)+(66-25)*$F$9)/1440))</x:f>
      </x:c>
      <x:c r="B66" s="6" t="str">
        <x:f>IF(A66="","",A66-$C$17/1440)</x:f>
      </x:c>
      <x:c r="C66" s="6" t="str">
        <x:f>IF(A66="","",A66+($B$17+$D$17)/1440)</x:f>
      </x:c>
      <x:c r="D66" s="18" t="str">
        <x:f>IF(A66="","",IF($B$12=0,0,MAX(0,MIN(ROUND($C66*1440,0),ROUND($H$12*1440,0))-MAX(ROUND($B66*1440,0),ROUND($G$12*1440,0)))))</x:f>
      </x:c>
      <x:c r="E66" s="18" t="str">
        <x:f>IF(A66="","",IF($B$13=0,0,MAX(0,MIN(ROUND($C66*1440,0),ROUND($H$13*1440,0))-MAX(ROUND($B66*1440,0),ROUND($G$13*1440,0)))))</x:f>
      </x:c>
      <x:c r="F66" s="18" t="str">
        <x:f>IF(A66="","",IF($B$14=0,0,MAX(0,MIN(ROUND($C66*1440,0),ROUND($H$14*1440,0))-MAX(ROUND($B66*1440,0),ROUND($G$14*1440,0)))))</x:f>
      </x:c>
      <x:c r="G66" s="2" t="str">
        <x:f>IF(A66="","",IF(OR(ROUND(B66*1440,0)&lt;ROUND($B$9*1440,0),ROUND(C66*1440,0)&gt;ROUND($D$9*1440,0)),"時間外","時間内"))</x:f>
      </x:c>
      <x:c r="H66" s="2" t="str">
        <x:f>IF($B$20&lt;&gt;"入力OK","入力待ち",IF(A66="","",IF(G66="時間外","対象外",IF(SUM(D66:F66)&gt;0,"重複あり","候補"))))</x:f>
      </x:c>
      <x:c r="I66" s="2"/>
    </x:row>
    <x:row r="67" ht="24" customHeight="1">
      <x:c r="A67" s="6" t="str">
        <x:f>IF($B$20&lt;&gt;"入力OK","",IF((CEILING(ROUND($B$9*1440,0),$F$9)+(67-25)*$F$9)&gt;=ROUND($D$9*1440,0),"",(CEILING(ROUND($B$9*1440,0),$F$9)+(67-25)*$F$9)/1440))</x:f>
      </x:c>
      <x:c r="B67" s="6" t="str">
        <x:f>IF(A67="","",A67-$C$17/1440)</x:f>
      </x:c>
      <x:c r="C67" s="6" t="str">
        <x:f>IF(A67="","",A67+($B$17+$D$17)/1440)</x:f>
      </x:c>
      <x:c r="D67" s="18" t="str">
        <x:f>IF(A67="","",IF($B$12=0,0,MAX(0,MIN(ROUND($C67*1440,0),ROUND($H$12*1440,0))-MAX(ROUND($B67*1440,0),ROUND($G$12*1440,0)))))</x:f>
      </x:c>
      <x:c r="E67" s="18" t="str">
        <x:f>IF(A67="","",IF($B$13=0,0,MAX(0,MIN(ROUND($C67*1440,0),ROUND($H$13*1440,0))-MAX(ROUND($B67*1440,0),ROUND($G$13*1440,0)))))</x:f>
      </x:c>
      <x:c r="F67" s="18" t="str">
        <x:f>IF(A67="","",IF($B$14=0,0,MAX(0,MIN(ROUND($C67*1440,0),ROUND($H$14*1440,0))-MAX(ROUND($B67*1440,0),ROUND($G$14*1440,0)))))</x:f>
      </x:c>
      <x:c r="G67" s="2" t="str">
        <x:f>IF(A67="","",IF(OR(ROUND(B67*1440,0)&lt;ROUND($B$9*1440,0),ROUND(C67*1440,0)&gt;ROUND($D$9*1440,0)),"時間外","時間内"))</x:f>
      </x:c>
      <x:c r="H67" s="2" t="str">
        <x:f>IF($B$20&lt;&gt;"入力OK","入力待ち",IF(A67="","",IF(G67="時間外","対象外",IF(SUM(D67:F67)&gt;0,"重複あり","候補"))))</x:f>
      </x:c>
      <x:c r="I67" s="2"/>
    </x:row>
    <x:row r="68" ht="24" customHeight="1">
      <x:c r="A68" s="6" t="str">
        <x:f>IF($B$20&lt;&gt;"入力OK","",IF((CEILING(ROUND($B$9*1440,0),$F$9)+(68-25)*$F$9)&gt;=ROUND($D$9*1440,0),"",(CEILING(ROUND($B$9*1440,0),$F$9)+(68-25)*$F$9)/1440))</x:f>
      </x:c>
      <x:c r="B68" s="6" t="str">
        <x:f>IF(A68="","",A68-$C$17/1440)</x:f>
      </x:c>
      <x:c r="C68" s="6" t="str">
        <x:f>IF(A68="","",A68+($B$17+$D$17)/1440)</x:f>
      </x:c>
      <x:c r="D68" s="18" t="str">
        <x:f>IF(A68="","",IF($B$12=0,0,MAX(0,MIN(ROUND($C68*1440,0),ROUND($H$12*1440,0))-MAX(ROUND($B68*1440,0),ROUND($G$12*1440,0)))))</x:f>
      </x:c>
      <x:c r="E68" s="18" t="str">
        <x:f>IF(A68="","",IF($B$13=0,0,MAX(0,MIN(ROUND($C68*1440,0),ROUND($H$13*1440,0))-MAX(ROUND($B68*1440,0),ROUND($G$13*1440,0)))))</x:f>
      </x:c>
      <x:c r="F68" s="18" t="str">
        <x:f>IF(A68="","",IF($B$14=0,0,MAX(0,MIN(ROUND($C68*1440,0),ROUND($H$14*1440,0))-MAX(ROUND($B68*1440,0),ROUND($G$14*1440,0)))))</x:f>
      </x:c>
      <x:c r="G68" s="2" t="str">
        <x:f>IF(A68="","",IF(OR(ROUND(B68*1440,0)&lt;ROUND($B$9*1440,0),ROUND(C68*1440,0)&gt;ROUND($D$9*1440,0)),"時間外","時間内"))</x:f>
      </x:c>
      <x:c r="H68" s="2" t="str">
        <x:f>IF($B$20&lt;&gt;"入力OK","入力待ち",IF(A68="","",IF(G68="時間外","対象外",IF(SUM(D68:F68)&gt;0,"重複あり","候補"))))</x:f>
      </x:c>
      <x:c r="I68" s="2"/>
    </x:row>
    <x:row r="69" ht="24" customHeight="1">
      <x:c r="A69" s="6" t="str">
        <x:f>IF($B$20&lt;&gt;"入力OK","",IF((CEILING(ROUND($B$9*1440,0),$F$9)+(69-25)*$F$9)&gt;=ROUND($D$9*1440,0),"",(CEILING(ROUND($B$9*1440,0),$F$9)+(69-25)*$F$9)/1440))</x:f>
      </x:c>
      <x:c r="B69" s="6" t="str">
        <x:f>IF(A69="","",A69-$C$17/1440)</x:f>
      </x:c>
      <x:c r="C69" s="6" t="str">
        <x:f>IF(A69="","",A69+($B$17+$D$17)/1440)</x:f>
      </x:c>
      <x:c r="D69" s="18" t="str">
        <x:f>IF(A69="","",IF($B$12=0,0,MAX(0,MIN(ROUND($C69*1440,0),ROUND($H$12*1440,0))-MAX(ROUND($B69*1440,0),ROUND($G$12*1440,0)))))</x:f>
      </x:c>
      <x:c r="E69" s="18" t="str">
        <x:f>IF(A69="","",IF($B$13=0,0,MAX(0,MIN(ROUND($C69*1440,0),ROUND($H$13*1440,0))-MAX(ROUND($B69*1440,0),ROUND($G$13*1440,0)))))</x:f>
      </x:c>
      <x:c r="F69" s="18" t="str">
        <x:f>IF(A69="","",IF($B$14=0,0,MAX(0,MIN(ROUND($C69*1440,0),ROUND($H$14*1440,0))-MAX(ROUND($B69*1440,0),ROUND($G$14*1440,0)))))</x:f>
      </x:c>
      <x:c r="G69" s="2" t="str">
        <x:f>IF(A69="","",IF(OR(ROUND(B69*1440,0)&lt;ROUND($B$9*1440,0),ROUND(C69*1440,0)&gt;ROUND($D$9*1440,0)),"時間外","時間内"))</x:f>
      </x:c>
      <x:c r="H69" s="2" t="str">
        <x:f>IF($B$20&lt;&gt;"入力OK","入力待ち",IF(A69="","",IF(G69="時間外","対象外",IF(SUM(D69:F69)&gt;0,"重複あり","候補"))))</x:f>
      </x:c>
      <x:c r="I69" s="2"/>
    </x:row>
    <x:row r="70" ht="24" customHeight="1">
      <x:c r="A70" s="6" t="str">
        <x:f>IF($B$20&lt;&gt;"入力OK","",IF((CEILING(ROUND($B$9*1440,0),$F$9)+(70-25)*$F$9)&gt;=ROUND($D$9*1440,0),"",(CEILING(ROUND($B$9*1440,0),$F$9)+(70-25)*$F$9)/1440))</x:f>
      </x:c>
      <x:c r="B70" s="6" t="str">
        <x:f>IF(A70="","",A70-$C$17/1440)</x:f>
      </x:c>
      <x:c r="C70" s="6" t="str">
        <x:f>IF(A70="","",A70+($B$17+$D$17)/1440)</x:f>
      </x:c>
      <x:c r="D70" s="18" t="str">
        <x:f>IF(A70="","",IF($B$12=0,0,MAX(0,MIN(ROUND($C70*1440,0),ROUND($H$12*1440,0))-MAX(ROUND($B70*1440,0),ROUND($G$12*1440,0)))))</x:f>
      </x:c>
      <x:c r="E70" s="18" t="str">
        <x:f>IF(A70="","",IF($B$13=0,0,MAX(0,MIN(ROUND($C70*1440,0),ROUND($H$13*1440,0))-MAX(ROUND($B70*1440,0),ROUND($G$13*1440,0)))))</x:f>
      </x:c>
      <x:c r="F70" s="18" t="str">
        <x:f>IF(A70="","",IF($B$14=0,0,MAX(0,MIN(ROUND($C70*1440,0),ROUND($H$14*1440,0))-MAX(ROUND($B70*1440,0),ROUND($G$14*1440,0)))))</x:f>
      </x:c>
      <x:c r="G70" s="2" t="str">
        <x:f>IF(A70="","",IF(OR(ROUND(B70*1440,0)&lt;ROUND($B$9*1440,0),ROUND(C70*1440,0)&gt;ROUND($D$9*1440,0)),"時間外","時間内"))</x:f>
      </x:c>
      <x:c r="H70" s="2" t="str">
        <x:f>IF($B$20&lt;&gt;"入力OK","入力待ち",IF(A70="","",IF(G70="時間外","対象外",IF(SUM(D70:F70)&gt;0,"重複あり","候補"))))</x:f>
      </x:c>
      <x:c r="I70" s="2"/>
    </x:row>
    <x:row r="71" ht="24" customHeight="1">
      <x:c r="A71" s="6" t="str">
        <x:f>IF($B$20&lt;&gt;"入力OK","",IF((CEILING(ROUND($B$9*1440,0),$F$9)+(71-25)*$F$9)&gt;=ROUND($D$9*1440,0),"",(CEILING(ROUND($B$9*1440,0),$F$9)+(71-25)*$F$9)/1440))</x:f>
      </x:c>
      <x:c r="B71" s="6" t="str">
        <x:f>IF(A71="","",A71-$C$17/1440)</x:f>
      </x:c>
      <x:c r="C71" s="6" t="str">
        <x:f>IF(A71="","",A71+($B$17+$D$17)/1440)</x:f>
      </x:c>
      <x:c r="D71" s="18" t="str">
        <x:f>IF(A71="","",IF($B$12=0,0,MAX(0,MIN(ROUND($C71*1440,0),ROUND($H$12*1440,0))-MAX(ROUND($B71*1440,0),ROUND($G$12*1440,0)))))</x:f>
      </x:c>
      <x:c r="E71" s="18" t="str">
        <x:f>IF(A71="","",IF($B$13=0,0,MAX(0,MIN(ROUND($C71*1440,0),ROUND($H$13*1440,0))-MAX(ROUND($B71*1440,0),ROUND($G$13*1440,0)))))</x:f>
      </x:c>
      <x:c r="F71" s="18" t="str">
        <x:f>IF(A71="","",IF($B$14=0,0,MAX(0,MIN(ROUND($C71*1440,0),ROUND($H$14*1440,0))-MAX(ROUND($B71*1440,0),ROUND($G$14*1440,0)))))</x:f>
      </x:c>
      <x:c r="G71" s="2" t="str">
        <x:f>IF(A71="","",IF(OR(ROUND(B71*1440,0)&lt;ROUND($B$9*1440,0),ROUND(C71*1440,0)&gt;ROUND($D$9*1440,0)),"時間外","時間内"))</x:f>
      </x:c>
      <x:c r="H71" s="2" t="str">
        <x:f>IF($B$20&lt;&gt;"入力OK","入力待ち",IF(A71="","",IF(G71="時間外","対象外",IF(SUM(D71:F71)&gt;0,"重複あり","候補"))))</x:f>
      </x:c>
      <x:c r="I71" s="2"/>
    </x:row>
    <x:row r="72" ht="24" customHeight="1">
      <x:c r="A72" s="6" t="str">
        <x:f>IF($B$20&lt;&gt;"入力OK","",IF((CEILING(ROUND($B$9*1440,0),$F$9)+(72-25)*$F$9)&gt;=ROUND($D$9*1440,0),"",(CEILING(ROUND($B$9*1440,0),$F$9)+(72-25)*$F$9)/1440))</x:f>
      </x:c>
      <x:c r="B72" s="6" t="str">
        <x:f>IF(A72="","",A72-$C$17/1440)</x:f>
      </x:c>
      <x:c r="C72" s="6" t="str">
        <x:f>IF(A72="","",A72+($B$17+$D$17)/1440)</x:f>
      </x:c>
      <x:c r="D72" s="18" t="str">
        <x:f>IF(A72="","",IF($B$12=0,0,MAX(0,MIN(ROUND($C72*1440,0),ROUND($H$12*1440,0))-MAX(ROUND($B72*1440,0),ROUND($G$12*1440,0)))))</x:f>
      </x:c>
      <x:c r="E72" s="18" t="str">
        <x:f>IF(A72="","",IF($B$13=0,0,MAX(0,MIN(ROUND($C72*1440,0),ROUND($H$13*1440,0))-MAX(ROUND($B72*1440,0),ROUND($G$13*1440,0)))))</x:f>
      </x:c>
      <x:c r="F72" s="18" t="str">
        <x:f>IF(A72="","",IF($B$14=0,0,MAX(0,MIN(ROUND($C72*1440,0),ROUND($H$14*1440,0))-MAX(ROUND($B72*1440,0),ROUND($G$14*1440,0)))))</x:f>
      </x:c>
      <x:c r="G72" s="2" t="str">
        <x:f>IF(A72="","",IF(OR(ROUND(B72*1440,0)&lt;ROUND($B$9*1440,0),ROUND(C72*1440,0)&gt;ROUND($D$9*1440,0)),"時間外","時間内"))</x:f>
      </x:c>
      <x:c r="H72" s="2" t="str">
        <x:f>IF($B$20&lt;&gt;"入力OK","入力待ち",IF(A72="","",IF(G72="時間外","対象外",IF(SUM(D72:F72)&gt;0,"重複あり","候補"))))</x:f>
      </x:c>
      <x:c r="I72" s="2"/>
    </x:row>
    <x:row r="73" ht="24" customHeight="1">
      <x:c r="A73" s="6" t="str">
        <x:f>IF($B$20&lt;&gt;"入力OK","",IF((CEILING(ROUND($B$9*1440,0),$F$9)+(73-25)*$F$9)&gt;=ROUND($D$9*1440,0),"",(CEILING(ROUND($B$9*1440,0),$F$9)+(73-25)*$F$9)/1440))</x:f>
      </x:c>
      <x:c r="B73" s="6" t="str">
        <x:f>IF(A73="","",A73-$C$17/1440)</x:f>
      </x:c>
      <x:c r="C73" s="6" t="str">
        <x:f>IF(A73="","",A73+($B$17+$D$17)/1440)</x:f>
      </x:c>
      <x:c r="D73" s="18" t="str">
        <x:f>IF(A73="","",IF($B$12=0,0,MAX(0,MIN(ROUND($C73*1440,0),ROUND($H$12*1440,0))-MAX(ROUND($B73*1440,0),ROUND($G$12*1440,0)))))</x:f>
      </x:c>
      <x:c r="E73" s="18" t="str">
        <x:f>IF(A73="","",IF($B$13=0,0,MAX(0,MIN(ROUND($C73*1440,0),ROUND($H$13*1440,0))-MAX(ROUND($B73*1440,0),ROUND($G$13*1440,0)))))</x:f>
      </x:c>
      <x:c r="F73" s="18" t="str">
        <x:f>IF(A73="","",IF($B$14=0,0,MAX(0,MIN(ROUND($C73*1440,0),ROUND($H$14*1440,0))-MAX(ROUND($B73*1440,0),ROUND($G$14*1440,0)))))</x:f>
      </x:c>
      <x:c r="G73" s="2" t="str">
        <x:f>IF(A73="","",IF(OR(ROUND(B73*1440,0)&lt;ROUND($B$9*1440,0),ROUND(C73*1440,0)&gt;ROUND($D$9*1440,0)),"時間外","時間内"))</x:f>
      </x:c>
      <x:c r="H73" s="2" t="str">
        <x:f>IF($B$20&lt;&gt;"入力OK","入力待ち",IF(A73="","",IF(G73="時間外","対象外",IF(SUM(D73:F73)&gt;0,"重複あり","候補"))))</x:f>
      </x:c>
      <x:c r="I73" s="2"/>
    </x:row>
    <x:row r="74" ht="24" customHeight="1">
      <x:c r="A74" s="6" t="str">
        <x:f>IF($B$20&lt;&gt;"入力OK","",IF((CEILING(ROUND($B$9*1440,0),$F$9)+(74-25)*$F$9)&gt;=ROUND($D$9*1440,0),"",(CEILING(ROUND($B$9*1440,0),$F$9)+(74-25)*$F$9)/1440))</x:f>
      </x:c>
      <x:c r="B74" s="6" t="str">
        <x:f>IF(A74="","",A74-$C$17/1440)</x:f>
      </x:c>
      <x:c r="C74" s="6" t="str">
        <x:f>IF(A74="","",A74+($B$17+$D$17)/1440)</x:f>
      </x:c>
      <x:c r="D74" s="18" t="str">
        <x:f>IF(A74="","",IF($B$12=0,0,MAX(0,MIN(ROUND($C74*1440,0),ROUND($H$12*1440,0))-MAX(ROUND($B74*1440,0),ROUND($G$12*1440,0)))))</x:f>
      </x:c>
      <x:c r="E74" s="18" t="str">
        <x:f>IF(A74="","",IF($B$13=0,0,MAX(0,MIN(ROUND($C74*1440,0),ROUND($H$13*1440,0))-MAX(ROUND($B74*1440,0),ROUND($G$13*1440,0)))))</x:f>
      </x:c>
      <x:c r="F74" s="18" t="str">
        <x:f>IF(A74="","",IF($B$14=0,0,MAX(0,MIN(ROUND($C74*1440,0),ROUND($H$14*1440,0))-MAX(ROUND($B74*1440,0),ROUND($G$14*1440,0)))))</x:f>
      </x:c>
      <x:c r="G74" s="2" t="str">
        <x:f>IF(A74="","",IF(OR(ROUND(B74*1440,0)&lt;ROUND($B$9*1440,0),ROUND(C74*1440,0)&gt;ROUND($D$9*1440,0)),"時間外","時間内"))</x:f>
      </x:c>
      <x:c r="H74" s="2" t="str">
        <x:f>IF($B$20&lt;&gt;"入力OK","入力待ち",IF(A74="","",IF(G74="時間外","対象外",IF(SUM(D74:F74)&gt;0,"重複あり","候補"))))</x:f>
      </x:c>
      <x:c r="I74" s="2"/>
    </x:row>
    <x:row r="75" ht="24" customHeight="1">
      <x:c r="A75" s="6" t="str">
        <x:f>IF($B$20&lt;&gt;"入力OK","",IF((CEILING(ROUND($B$9*1440,0),$F$9)+(75-25)*$F$9)&gt;=ROUND($D$9*1440,0),"",(CEILING(ROUND($B$9*1440,0),$F$9)+(75-25)*$F$9)/1440))</x:f>
      </x:c>
      <x:c r="B75" s="6" t="str">
        <x:f>IF(A75="","",A75-$C$17/1440)</x:f>
      </x:c>
      <x:c r="C75" s="6" t="str">
        <x:f>IF(A75="","",A75+($B$17+$D$17)/1440)</x:f>
      </x:c>
      <x:c r="D75" s="18" t="str">
        <x:f>IF(A75="","",IF($B$12=0,0,MAX(0,MIN(ROUND($C75*1440,0),ROUND($H$12*1440,0))-MAX(ROUND($B75*1440,0),ROUND($G$12*1440,0)))))</x:f>
      </x:c>
      <x:c r="E75" s="18" t="str">
        <x:f>IF(A75="","",IF($B$13=0,0,MAX(0,MIN(ROUND($C75*1440,0),ROUND($H$13*1440,0))-MAX(ROUND($B75*1440,0),ROUND($G$13*1440,0)))))</x:f>
      </x:c>
      <x:c r="F75" s="18" t="str">
        <x:f>IF(A75="","",IF($B$14=0,0,MAX(0,MIN(ROUND($C75*1440,0),ROUND($H$14*1440,0))-MAX(ROUND($B75*1440,0),ROUND($G$14*1440,0)))))</x:f>
      </x:c>
      <x:c r="G75" s="2" t="str">
        <x:f>IF(A75="","",IF(OR(ROUND(B75*1440,0)&lt;ROUND($B$9*1440,0),ROUND(C75*1440,0)&gt;ROUND($D$9*1440,0)),"時間外","時間内"))</x:f>
      </x:c>
      <x:c r="H75" s="2" t="str">
        <x:f>IF($B$20&lt;&gt;"入力OK","入力待ち",IF(A75="","",IF(G75="時間外","対象外",IF(SUM(D75:F75)&gt;0,"重複あり","候補"))))</x:f>
      </x:c>
      <x:c r="I75" s="2"/>
    </x:row>
    <x:row r="76" ht="24" customHeight="1">
      <x:c r="A76" s="6" t="str">
        <x:f>IF($B$20&lt;&gt;"入力OK","",IF((CEILING(ROUND($B$9*1440,0),$F$9)+(76-25)*$F$9)&gt;=ROUND($D$9*1440,0),"",(CEILING(ROUND($B$9*1440,0),$F$9)+(76-25)*$F$9)/1440))</x:f>
      </x:c>
      <x:c r="B76" s="6" t="str">
        <x:f>IF(A76="","",A76-$C$17/1440)</x:f>
      </x:c>
      <x:c r="C76" s="6" t="str">
        <x:f>IF(A76="","",A76+($B$17+$D$17)/1440)</x:f>
      </x:c>
      <x:c r="D76" s="18" t="str">
        <x:f>IF(A76="","",IF($B$12=0,0,MAX(0,MIN(ROUND($C76*1440,0),ROUND($H$12*1440,0))-MAX(ROUND($B76*1440,0),ROUND($G$12*1440,0)))))</x:f>
      </x:c>
      <x:c r="E76" s="18" t="str">
        <x:f>IF(A76="","",IF($B$13=0,0,MAX(0,MIN(ROUND($C76*1440,0),ROUND($H$13*1440,0))-MAX(ROUND($B76*1440,0),ROUND($G$13*1440,0)))))</x:f>
      </x:c>
      <x:c r="F76" s="18" t="str">
        <x:f>IF(A76="","",IF($B$14=0,0,MAX(0,MIN(ROUND($C76*1440,0),ROUND($H$14*1440,0))-MAX(ROUND($B76*1440,0),ROUND($G$14*1440,0)))))</x:f>
      </x:c>
      <x:c r="G76" s="2" t="str">
        <x:f>IF(A76="","",IF(OR(ROUND(B76*1440,0)&lt;ROUND($B$9*1440,0),ROUND(C76*1440,0)&gt;ROUND($D$9*1440,0)),"時間外","時間内"))</x:f>
      </x:c>
      <x:c r="H76" s="2" t="str">
        <x:f>IF($B$20&lt;&gt;"入力OK","入力待ち",IF(A76="","",IF(G76="時間外","対象外",IF(SUM(D76:F76)&gt;0,"重複あり","候補"))))</x:f>
      </x:c>
      <x:c r="I76" s="2"/>
    </x:row>
    <x:row r="77" ht="24" customHeight="1">
      <x:c r="A77" s="6" t="str">
        <x:f>IF($B$20&lt;&gt;"入力OK","",IF((CEILING(ROUND($B$9*1440,0),$F$9)+(77-25)*$F$9)&gt;=ROUND($D$9*1440,0),"",(CEILING(ROUND($B$9*1440,0),$F$9)+(77-25)*$F$9)/1440))</x:f>
      </x:c>
      <x:c r="B77" s="6" t="str">
        <x:f>IF(A77="","",A77-$C$17/1440)</x:f>
      </x:c>
      <x:c r="C77" s="6" t="str">
        <x:f>IF(A77="","",A77+($B$17+$D$17)/1440)</x:f>
      </x:c>
      <x:c r="D77" s="18" t="str">
        <x:f>IF(A77="","",IF($B$12=0,0,MAX(0,MIN(ROUND($C77*1440,0),ROUND($H$12*1440,0))-MAX(ROUND($B77*1440,0),ROUND($G$12*1440,0)))))</x:f>
      </x:c>
      <x:c r="E77" s="18" t="str">
        <x:f>IF(A77="","",IF($B$13=0,0,MAX(0,MIN(ROUND($C77*1440,0),ROUND($H$13*1440,0))-MAX(ROUND($B77*1440,0),ROUND($G$13*1440,0)))))</x:f>
      </x:c>
      <x:c r="F77" s="18" t="str">
        <x:f>IF(A77="","",IF($B$14=0,0,MAX(0,MIN(ROUND($C77*1440,0),ROUND($H$14*1440,0))-MAX(ROUND($B77*1440,0),ROUND($G$14*1440,0)))))</x:f>
      </x:c>
      <x:c r="G77" s="2" t="str">
        <x:f>IF(A77="","",IF(OR(ROUND(B77*1440,0)&lt;ROUND($B$9*1440,0),ROUND(C77*1440,0)&gt;ROUND($D$9*1440,0)),"時間外","時間内"))</x:f>
      </x:c>
      <x:c r="H77" s="2" t="str">
        <x:f>IF($B$20&lt;&gt;"入力OK","入力待ち",IF(A77="","",IF(G77="時間外","対象外",IF(SUM(D77:F77)&gt;0,"重複あり","候補"))))</x:f>
      </x:c>
      <x:c r="I77" s="2"/>
    </x:row>
    <x:row r="78" ht="24" customHeight="1">
      <x:c r="A78" s="6" t="str">
        <x:f>IF($B$20&lt;&gt;"入力OK","",IF((CEILING(ROUND($B$9*1440,0),$F$9)+(78-25)*$F$9)&gt;=ROUND($D$9*1440,0),"",(CEILING(ROUND($B$9*1440,0),$F$9)+(78-25)*$F$9)/1440))</x:f>
      </x:c>
      <x:c r="B78" s="6" t="str">
        <x:f>IF(A78="","",A78-$C$17/1440)</x:f>
      </x:c>
      <x:c r="C78" s="6" t="str">
        <x:f>IF(A78="","",A78+($B$17+$D$17)/1440)</x:f>
      </x:c>
      <x:c r="D78" s="18" t="str">
        <x:f>IF(A78="","",IF($B$12=0,0,MAX(0,MIN(ROUND($C78*1440,0),ROUND($H$12*1440,0))-MAX(ROUND($B78*1440,0),ROUND($G$12*1440,0)))))</x:f>
      </x:c>
      <x:c r="E78" s="18" t="str">
        <x:f>IF(A78="","",IF($B$13=0,0,MAX(0,MIN(ROUND($C78*1440,0),ROUND($H$13*1440,0))-MAX(ROUND($B78*1440,0),ROUND($G$13*1440,0)))))</x:f>
      </x:c>
      <x:c r="F78" s="18" t="str">
        <x:f>IF(A78="","",IF($B$14=0,0,MAX(0,MIN(ROUND($C78*1440,0),ROUND($H$14*1440,0))-MAX(ROUND($B78*1440,0),ROUND($G$14*1440,0)))))</x:f>
      </x:c>
      <x:c r="G78" s="2" t="str">
        <x:f>IF(A78="","",IF(OR(ROUND(B78*1440,0)&lt;ROUND($B$9*1440,0),ROUND(C78*1440,0)&gt;ROUND($D$9*1440,0)),"時間外","時間内"))</x:f>
      </x:c>
      <x:c r="H78" s="2" t="str">
        <x:f>IF($B$20&lt;&gt;"入力OK","入力待ち",IF(A78="","",IF(G78="時間外","対象外",IF(SUM(D78:F78)&gt;0,"重複あり","候補"))))</x:f>
      </x:c>
      <x:c r="I78" s="2"/>
    </x:row>
    <x:row r="79" ht="24" customHeight="1">
      <x:c r="A79" s="6" t="str">
        <x:f>IF($B$20&lt;&gt;"入力OK","",IF((CEILING(ROUND($B$9*1440,0),$F$9)+(79-25)*$F$9)&gt;=ROUND($D$9*1440,0),"",(CEILING(ROUND($B$9*1440,0),$F$9)+(79-25)*$F$9)/1440))</x:f>
      </x:c>
      <x:c r="B79" s="6" t="str">
        <x:f>IF(A79="","",A79-$C$17/1440)</x:f>
      </x:c>
      <x:c r="C79" s="6" t="str">
        <x:f>IF(A79="","",A79+($B$17+$D$17)/1440)</x:f>
      </x:c>
      <x:c r="D79" s="18" t="str">
        <x:f>IF(A79="","",IF($B$12=0,0,MAX(0,MIN(ROUND($C79*1440,0),ROUND($H$12*1440,0))-MAX(ROUND($B79*1440,0),ROUND($G$12*1440,0)))))</x:f>
      </x:c>
      <x:c r="E79" s="18" t="str">
        <x:f>IF(A79="","",IF($B$13=0,0,MAX(0,MIN(ROUND($C79*1440,0),ROUND($H$13*1440,0))-MAX(ROUND($B79*1440,0),ROUND($G$13*1440,0)))))</x:f>
      </x:c>
      <x:c r="F79" s="18" t="str">
        <x:f>IF(A79="","",IF($B$14=0,0,MAX(0,MIN(ROUND($C79*1440,0),ROUND($H$14*1440,0))-MAX(ROUND($B79*1440,0),ROUND($G$14*1440,0)))))</x:f>
      </x:c>
      <x:c r="G79" s="2" t="str">
        <x:f>IF(A79="","",IF(OR(ROUND(B79*1440,0)&lt;ROUND($B$9*1440,0),ROUND(C79*1440,0)&gt;ROUND($D$9*1440,0)),"時間外","時間内"))</x:f>
      </x:c>
      <x:c r="H79" s="2" t="str">
        <x:f>IF($B$20&lt;&gt;"入力OK","入力待ち",IF(A79="","",IF(G79="時間外","対象外",IF(SUM(D79:F79)&gt;0,"重複あり","候補"))))</x:f>
      </x:c>
      <x:c r="I79" s="2"/>
    </x:row>
    <x:row r="80" ht="24" customHeight="1">
      <x:c r="A80" s="6" t="str">
        <x:f>IF($B$20&lt;&gt;"入力OK","",IF((CEILING(ROUND($B$9*1440,0),$F$9)+(80-25)*$F$9)&gt;=ROUND($D$9*1440,0),"",(CEILING(ROUND($B$9*1440,0),$F$9)+(80-25)*$F$9)/1440))</x:f>
      </x:c>
      <x:c r="B80" s="6" t="str">
        <x:f>IF(A80="","",A80-$C$17/1440)</x:f>
      </x:c>
      <x:c r="C80" s="6" t="str">
        <x:f>IF(A80="","",A80+($B$17+$D$17)/1440)</x:f>
      </x:c>
      <x:c r="D80" s="18" t="str">
        <x:f>IF(A80="","",IF($B$12=0,0,MAX(0,MIN(ROUND($C80*1440,0),ROUND($H$12*1440,0))-MAX(ROUND($B80*1440,0),ROUND($G$12*1440,0)))))</x:f>
      </x:c>
      <x:c r="E80" s="18" t="str">
        <x:f>IF(A80="","",IF($B$13=0,0,MAX(0,MIN(ROUND($C80*1440,0),ROUND($H$13*1440,0))-MAX(ROUND($B80*1440,0),ROUND($G$13*1440,0)))))</x:f>
      </x:c>
      <x:c r="F80" s="18" t="str">
        <x:f>IF(A80="","",IF($B$14=0,0,MAX(0,MIN(ROUND($C80*1440,0),ROUND($H$14*1440,0))-MAX(ROUND($B80*1440,0),ROUND($G$14*1440,0)))))</x:f>
      </x:c>
      <x:c r="G80" s="2" t="str">
        <x:f>IF(A80="","",IF(OR(ROUND(B80*1440,0)&lt;ROUND($B$9*1440,0),ROUND(C80*1440,0)&gt;ROUND($D$9*1440,0)),"時間外","時間内"))</x:f>
      </x:c>
      <x:c r="H80" s="2" t="str">
        <x:f>IF($B$20&lt;&gt;"入力OK","入力待ち",IF(A80="","",IF(G80="時間外","対象外",IF(SUM(D80:F80)&gt;0,"重複あり","候補"))))</x:f>
      </x:c>
      <x:c r="I80" s="2"/>
    </x:row>
    <x:row r="81" ht="24" customHeight="1">
      <x:c r="A81" s="6" t="str">
        <x:f>IF($B$20&lt;&gt;"入力OK","",IF((CEILING(ROUND($B$9*1440,0),$F$9)+(81-25)*$F$9)&gt;=ROUND($D$9*1440,0),"",(CEILING(ROUND($B$9*1440,0),$F$9)+(81-25)*$F$9)/1440))</x:f>
      </x:c>
      <x:c r="B81" s="6" t="str">
        <x:f>IF(A81="","",A81-$C$17/1440)</x:f>
      </x:c>
      <x:c r="C81" s="6" t="str">
        <x:f>IF(A81="","",A81+($B$17+$D$17)/1440)</x:f>
      </x:c>
      <x:c r="D81" s="18" t="str">
        <x:f>IF(A81="","",IF($B$12=0,0,MAX(0,MIN(ROUND($C81*1440,0),ROUND($H$12*1440,0))-MAX(ROUND($B81*1440,0),ROUND($G$12*1440,0)))))</x:f>
      </x:c>
      <x:c r="E81" s="18" t="str">
        <x:f>IF(A81="","",IF($B$13=0,0,MAX(0,MIN(ROUND($C81*1440,0),ROUND($H$13*1440,0))-MAX(ROUND($B81*1440,0),ROUND($G$13*1440,0)))))</x:f>
      </x:c>
      <x:c r="F81" s="18" t="str">
        <x:f>IF(A81="","",IF($B$14=0,0,MAX(0,MIN(ROUND($C81*1440,0),ROUND($H$14*1440,0))-MAX(ROUND($B81*1440,0),ROUND($G$14*1440,0)))))</x:f>
      </x:c>
      <x:c r="G81" s="2" t="str">
        <x:f>IF(A81="","",IF(OR(ROUND(B81*1440,0)&lt;ROUND($B$9*1440,0),ROUND(C81*1440,0)&gt;ROUND($D$9*1440,0)),"時間外","時間内"))</x:f>
      </x:c>
      <x:c r="H81" s="2" t="str">
        <x:f>IF($B$20&lt;&gt;"入力OK","入力待ち",IF(A81="","",IF(G81="時間外","対象外",IF(SUM(D81:F81)&gt;0,"重複あり","候補"))))</x:f>
      </x:c>
      <x:c r="I81" s="2"/>
    </x:row>
    <x:row r="82" ht="24" customHeight="1">
      <x:c r="A82" s="6" t="str">
        <x:f>IF($B$20&lt;&gt;"入力OK","",IF((CEILING(ROUND($B$9*1440,0),$F$9)+(82-25)*$F$9)&gt;=ROUND($D$9*1440,0),"",(CEILING(ROUND($B$9*1440,0),$F$9)+(82-25)*$F$9)/1440))</x:f>
      </x:c>
      <x:c r="B82" s="6" t="str">
        <x:f>IF(A82="","",A82-$C$17/1440)</x:f>
      </x:c>
      <x:c r="C82" s="6" t="str">
        <x:f>IF(A82="","",A82+($B$17+$D$17)/1440)</x:f>
      </x:c>
      <x:c r="D82" s="18" t="str">
        <x:f>IF(A82="","",IF($B$12=0,0,MAX(0,MIN(ROUND($C82*1440,0),ROUND($H$12*1440,0))-MAX(ROUND($B82*1440,0),ROUND($G$12*1440,0)))))</x:f>
      </x:c>
      <x:c r="E82" s="18" t="str">
        <x:f>IF(A82="","",IF($B$13=0,0,MAX(0,MIN(ROUND($C82*1440,0),ROUND($H$13*1440,0))-MAX(ROUND($B82*1440,0),ROUND($G$13*1440,0)))))</x:f>
      </x:c>
      <x:c r="F82" s="18" t="str">
        <x:f>IF(A82="","",IF($B$14=0,0,MAX(0,MIN(ROUND($C82*1440,0),ROUND($H$14*1440,0))-MAX(ROUND($B82*1440,0),ROUND($G$14*1440,0)))))</x:f>
      </x:c>
      <x:c r="G82" s="2" t="str">
        <x:f>IF(A82="","",IF(OR(ROUND(B82*1440,0)&lt;ROUND($B$9*1440,0),ROUND(C82*1440,0)&gt;ROUND($D$9*1440,0)),"時間外","時間内"))</x:f>
      </x:c>
      <x:c r="H82" s="2" t="str">
        <x:f>IF($B$20&lt;&gt;"入力OK","入力待ち",IF(A82="","",IF(G82="時間外","対象外",IF(SUM(D82:F82)&gt;0,"重複あり","候補"))))</x:f>
      </x:c>
      <x:c r="I82" s="2"/>
    </x:row>
    <x:row r="83" ht="24" customHeight="1">
      <x:c r="A83" s="6" t="str">
        <x:f>IF($B$20&lt;&gt;"入力OK","",IF((CEILING(ROUND($B$9*1440,0),$F$9)+(83-25)*$F$9)&gt;=ROUND($D$9*1440,0),"",(CEILING(ROUND($B$9*1440,0),$F$9)+(83-25)*$F$9)/1440))</x:f>
      </x:c>
      <x:c r="B83" s="6" t="str">
        <x:f>IF(A83="","",A83-$C$17/1440)</x:f>
      </x:c>
      <x:c r="C83" s="6" t="str">
        <x:f>IF(A83="","",A83+($B$17+$D$17)/1440)</x:f>
      </x:c>
      <x:c r="D83" s="18" t="str">
        <x:f>IF(A83="","",IF($B$12=0,0,MAX(0,MIN(ROUND($C83*1440,0),ROUND($H$12*1440,0))-MAX(ROUND($B83*1440,0),ROUND($G$12*1440,0)))))</x:f>
      </x:c>
      <x:c r="E83" s="18" t="str">
        <x:f>IF(A83="","",IF($B$13=0,0,MAX(0,MIN(ROUND($C83*1440,0),ROUND($H$13*1440,0))-MAX(ROUND($B83*1440,0),ROUND($G$13*1440,0)))))</x:f>
      </x:c>
      <x:c r="F83" s="18" t="str">
        <x:f>IF(A83="","",IF($B$14=0,0,MAX(0,MIN(ROUND($C83*1440,0),ROUND($H$14*1440,0))-MAX(ROUND($B83*1440,0),ROUND($G$14*1440,0)))))</x:f>
      </x:c>
      <x:c r="G83" s="2" t="str">
        <x:f>IF(A83="","",IF(OR(ROUND(B83*1440,0)&lt;ROUND($B$9*1440,0),ROUND(C83*1440,0)&gt;ROUND($D$9*1440,0)),"時間外","時間内"))</x:f>
      </x:c>
      <x:c r="H83" s="2" t="str">
        <x:f>IF($B$20&lt;&gt;"入力OK","入力待ち",IF(A83="","",IF(G83="時間外","対象外",IF(SUM(D83:F83)&gt;0,"重複あり","候補"))))</x:f>
      </x:c>
      <x:c r="I83" s="2"/>
    </x:row>
    <x:row r="84" ht="24" customHeight="1">
      <x:c r="A84" s="6" t="str">
        <x:f>IF($B$20&lt;&gt;"入力OK","",IF((CEILING(ROUND($B$9*1440,0),$F$9)+(84-25)*$F$9)&gt;=ROUND($D$9*1440,0),"",(CEILING(ROUND($B$9*1440,0),$F$9)+(84-25)*$F$9)/1440))</x:f>
      </x:c>
      <x:c r="B84" s="6" t="str">
        <x:f>IF(A84="","",A84-$C$17/1440)</x:f>
      </x:c>
      <x:c r="C84" s="6" t="str">
        <x:f>IF(A84="","",A84+($B$17+$D$17)/1440)</x:f>
      </x:c>
      <x:c r="D84" s="18" t="str">
        <x:f>IF(A84="","",IF($B$12=0,0,MAX(0,MIN(ROUND($C84*1440,0),ROUND($H$12*1440,0))-MAX(ROUND($B84*1440,0),ROUND($G$12*1440,0)))))</x:f>
      </x:c>
      <x:c r="E84" s="18" t="str">
        <x:f>IF(A84="","",IF($B$13=0,0,MAX(0,MIN(ROUND($C84*1440,0),ROUND($H$13*1440,0))-MAX(ROUND($B84*1440,0),ROUND($G$13*1440,0)))))</x:f>
      </x:c>
      <x:c r="F84" s="18" t="str">
        <x:f>IF(A84="","",IF($B$14=0,0,MAX(0,MIN(ROUND($C84*1440,0),ROUND($H$14*1440,0))-MAX(ROUND($B84*1440,0),ROUND($G$14*1440,0)))))</x:f>
      </x:c>
      <x:c r="G84" s="2" t="str">
        <x:f>IF(A84="","",IF(OR(ROUND(B84*1440,0)&lt;ROUND($B$9*1440,0),ROUND(C84*1440,0)&gt;ROUND($D$9*1440,0)),"時間外","時間内"))</x:f>
      </x:c>
      <x:c r="H84" s="2" t="str">
        <x:f>IF($B$20&lt;&gt;"入力OK","入力待ち",IF(A84="","",IF(G84="時間外","対象外",IF(SUM(D84:F84)&gt;0,"重複あり","候補"))))</x:f>
      </x:c>
      <x:c r="I84" s="2"/>
    </x:row>
    <x:row r="85" ht="24" customHeight="1">
      <x:c r="A85" s="6" t="str">
        <x:f>IF($B$20&lt;&gt;"入力OK","",IF((CEILING(ROUND($B$9*1440,0),$F$9)+(85-25)*$F$9)&gt;=ROUND($D$9*1440,0),"",(CEILING(ROUND($B$9*1440,0),$F$9)+(85-25)*$F$9)/1440))</x:f>
      </x:c>
      <x:c r="B85" s="6" t="str">
        <x:f>IF(A85="","",A85-$C$17/1440)</x:f>
      </x:c>
      <x:c r="C85" s="6" t="str">
        <x:f>IF(A85="","",A85+($B$17+$D$17)/1440)</x:f>
      </x:c>
      <x:c r="D85" s="18" t="str">
        <x:f>IF(A85="","",IF($B$12=0,0,MAX(0,MIN(ROUND($C85*1440,0),ROUND($H$12*1440,0))-MAX(ROUND($B85*1440,0),ROUND($G$12*1440,0)))))</x:f>
      </x:c>
      <x:c r="E85" s="18" t="str">
        <x:f>IF(A85="","",IF($B$13=0,0,MAX(0,MIN(ROUND($C85*1440,0),ROUND($H$13*1440,0))-MAX(ROUND($B85*1440,0),ROUND($G$13*1440,0)))))</x:f>
      </x:c>
      <x:c r="F85" s="18" t="str">
        <x:f>IF(A85="","",IF($B$14=0,0,MAX(0,MIN(ROUND($C85*1440,0),ROUND($H$14*1440,0))-MAX(ROUND($B85*1440,0),ROUND($G$14*1440,0)))))</x:f>
      </x:c>
      <x:c r="G85" s="2" t="str">
        <x:f>IF(A85="","",IF(OR(ROUND(B85*1440,0)&lt;ROUND($B$9*1440,0),ROUND(C85*1440,0)&gt;ROUND($D$9*1440,0)),"時間外","時間内"))</x:f>
      </x:c>
      <x:c r="H85" s="2" t="str">
        <x:f>IF($B$20&lt;&gt;"入力OK","入力待ち",IF(A85="","",IF(G85="時間外","対象外",IF(SUM(D85:F85)&gt;0,"重複あり","候補"))))</x:f>
      </x:c>
      <x:c r="I85" s="2"/>
    </x:row>
    <x:row r="86" ht="24" customHeight="1">
      <x:c r="A86" s="6" t="str">
        <x:f>IF($B$20&lt;&gt;"入力OK","",IF((CEILING(ROUND($B$9*1440,0),$F$9)+(86-25)*$F$9)&gt;=ROUND($D$9*1440,0),"",(CEILING(ROUND($B$9*1440,0),$F$9)+(86-25)*$F$9)/1440))</x:f>
      </x:c>
      <x:c r="B86" s="6" t="str">
        <x:f>IF(A86="","",A86-$C$17/1440)</x:f>
      </x:c>
      <x:c r="C86" s="6" t="str">
        <x:f>IF(A86="","",A86+($B$17+$D$17)/1440)</x:f>
      </x:c>
      <x:c r="D86" s="18" t="str">
        <x:f>IF(A86="","",IF($B$12=0,0,MAX(0,MIN(ROUND($C86*1440,0),ROUND($H$12*1440,0))-MAX(ROUND($B86*1440,0),ROUND($G$12*1440,0)))))</x:f>
      </x:c>
      <x:c r="E86" s="18" t="str">
        <x:f>IF(A86="","",IF($B$13=0,0,MAX(0,MIN(ROUND($C86*1440,0),ROUND($H$13*1440,0))-MAX(ROUND($B86*1440,0),ROUND($G$13*1440,0)))))</x:f>
      </x:c>
      <x:c r="F86" s="18" t="str">
        <x:f>IF(A86="","",IF($B$14=0,0,MAX(0,MIN(ROUND($C86*1440,0),ROUND($H$14*1440,0))-MAX(ROUND($B86*1440,0),ROUND($G$14*1440,0)))))</x:f>
      </x:c>
      <x:c r="G86" s="2" t="str">
        <x:f>IF(A86="","",IF(OR(ROUND(B86*1440,0)&lt;ROUND($B$9*1440,0),ROUND(C86*1440,0)&gt;ROUND($D$9*1440,0)),"時間外","時間内"))</x:f>
      </x:c>
      <x:c r="H86" s="2" t="str">
        <x:f>IF($B$20&lt;&gt;"入力OK","入力待ち",IF(A86="","",IF(G86="時間外","対象外",IF(SUM(D86:F86)&gt;0,"重複あり","候補"))))</x:f>
      </x:c>
      <x:c r="I86" s="2"/>
    </x:row>
    <x:row r="87" ht="24" customHeight="1">
      <x:c r="A87" s="6" t="str">
        <x:f>IF($B$20&lt;&gt;"入力OK","",IF((CEILING(ROUND($B$9*1440,0),$F$9)+(87-25)*$F$9)&gt;=ROUND($D$9*1440,0),"",(CEILING(ROUND($B$9*1440,0),$F$9)+(87-25)*$F$9)/1440))</x:f>
      </x:c>
      <x:c r="B87" s="6" t="str">
        <x:f>IF(A87="","",A87-$C$17/1440)</x:f>
      </x:c>
      <x:c r="C87" s="6" t="str">
        <x:f>IF(A87="","",A87+($B$17+$D$17)/1440)</x:f>
      </x:c>
      <x:c r="D87" s="18" t="str">
        <x:f>IF(A87="","",IF($B$12=0,0,MAX(0,MIN(ROUND($C87*1440,0),ROUND($H$12*1440,0))-MAX(ROUND($B87*1440,0),ROUND($G$12*1440,0)))))</x:f>
      </x:c>
      <x:c r="E87" s="18" t="str">
        <x:f>IF(A87="","",IF($B$13=0,0,MAX(0,MIN(ROUND($C87*1440,0),ROUND($H$13*1440,0))-MAX(ROUND($B87*1440,0),ROUND($G$13*1440,0)))))</x:f>
      </x:c>
      <x:c r="F87" s="18" t="str">
        <x:f>IF(A87="","",IF($B$14=0,0,MAX(0,MIN(ROUND($C87*1440,0),ROUND($H$14*1440,0))-MAX(ROUND($B87*1440,0),ROUND($G$14*1440,0)))))</x:f>
      </x:c>
      <x:c r="G87" s="2" t="str">
        <x:f>IF(A87="","",IF(OR(ROUND(B87*1440,0)&lt;ROUND($B$9*1440,0),ROUND(C87*1440,0)&gt;ROUND($D$9*1440,0)),"時間外","時間内"))</x:f>
      </x:c>
      <x:c r="H87" s="2" t="str">
        <x:f>IF($B$20&lt;&gt;"入力OK","入力待ち",IF(A87="","",IF(G87="時間外","対象外",IF(SUM(D87:F87)&gt;0,"重複あり","候補"))))</x:f>
      </x:c>
      <x:c r="I87" s="2"/>
    </x:row>
    <x:row r="88" ht="24" customHeight="1">
      <x:c r="A88" s="6" t="str">
        <x:f>IF($B$20&lt;&gt;"入力OK","",IF((CEILING(ROUND($B$9*1440,0),$F$9)+(88-25)*$F$9)&gt;=ROUND($D$9*1440,0),"",(CEILING(ROUND($B$9*1440,0),$F$9)+(88-25)*$F$9)/1440))</x:f>
      </x:c>
      <x:c r="B88" s="6" t="str">
        <x:f>IF(A88="","",A88-$C$17/1440)</x:f>
      </x:c>
      <x:c r="C88" s="6" t="str">
        <x:f>IF(A88="","",A88+($B$17+$D$17)/1440)</x:f>
      </x:c>
      <x:c r="D88" s="18" t="str">
        <x:f>IF(A88="","",IF($B$12=0,0,MAX(0,MIN(ROUND($C88*1440,0),ROUND($H$12*1440,0))-MAX(ROUND($B88*1440,0),ROUND($G$12*1440,0)))))</x:f>
      </x:c>
      <x:c r="E88" s="18" t="str">
        <x:f>IF(A88="","",IF($B$13=0,0,MAX(0,MIN(ROUND($C88*1440,0),ROUND($H$13*1440,0))-MAX(ROUND($B88*1440,0),ROUND($G$13*1440,0)))))</x:f>
      </x:c>
      <x:c r="F88" s="18" t="str">
        <x:f>IF(A88="","",IF($B$14=0,0,MAX(0,MIN(ROUND($C88*1440,0),ROUND($H$14*1440,0))-MAX(ROUND($B88*1440,0),ROUND($G$14*1440,0)))))</x:f>
      </x:c>
      <x:c r="G88" s="2" t="str">
        <x:f>IF(A88="","",IF(OR(ROUND(B88*1440,0)&lt;ROUND($B$9*1440,0),ROUND(C88*1440,0)&gt;ROUND($D$9*1440,0)),"時間外","時間内"))</x:f>
      </x:c>
      <x:c r="H88" s="2" t="str">
        <x:f>IF($B$20&lt;&gt;"入力OK","入力待ち",IF(A88="","",IF(G88="時間外","対象外",IF(SUM(D88:F88)&gt;0,"重複あり","候補"))))</x:f>
      </x:c>
      <x:c r="I88" s="2"/>
    </x:row>
    <x:row r="89" ht="24" customHeight="1">
      <x:c r="A89" s="6" t="str">
        <x:f>IF($B$20&lt;&gt;"入力OK","",IF((CEILING(ROUND($B$9*1440,0),$F$9)+(89-25)*$F$9)&gt;=ROUND($D$9*1440,0),"",(CEILING(ROUND($B$9*1440,0),$F$9)+(89-25)*$F$9)/1440))</x:f>
      </x:c>
      <x:c r="B89" s="6" t="str">
        <x:f>IF(A89="","",A89-$C$17/1440)</x:f>
      </x:c>
      <x:c r="C89" s="6" t="str">
        <x:f>IF(A89="","",A89+($B$17+$D$17)/1440)</x:f>
      </x:c>
      <x:c r="D89" s="18" t="str">
        <x:f>IF(A89="","",IF($B$12=0,0,MAX(0,MIN(ROUND($C89*1440,0),ROUND($H$12*1440,0))-MAX(ROUND($B89*1440,0),ROUND($G$12*1440,0)))))</x:f>
      </x:c>
      <x:c r="E89" s="18" t="str">
        <x:f>IF(A89="","",IF($B$13=0,0,MAX(0,MIN(ROUND($C89*1440,0),ROUND($H$13*1440,0))-MAX(ROUND($B89*1440,0),ROUND($G$13*1440,0)))))</x:f>
      </x:c>
      <x:c r="F89" s="18" t="str">
        <x:f>IF(A89="","",IF($B$14=0,0,MAX(0,MIN(ROUND($C89*1440,0),ROUND($H$14*1440,0))-MAX(ROUND($B89*1440,0),ROUND($G$14*1440,0)))))</x:f>
      </x:c>
      <x:c r="G89" s="2" t="str">
        <x:f>IF(A89="","",IF(OR(ROUND(B89*1440,0)&lt;ROUND($B$9*1440,0),ROUND(C89*1440,0)&gt;ROUND($D$9*1440,0)),"時間外","時間内"))</x:f>
      </x:c>
      <x:c r="H89" s="2" t="str">
        <x:f>IF($B$20&lt;&gt;"入力OK","入力待ち",IF(A89="","",IF(G89="時間外","対象外",IF(SUM(D89:F89)&gt;0,"重複あり","候補"))))</x:f>
      </x:c>
      <x:c r="I89" s="2"/>
    </x:row>
    <x:row r="90" ht="24" customHeight="1">
      <x:c r="A90" s="6" t="str">
        <x:f>IF($B$20&lt;&gt;"入力OK","",IF((CEILING(ROUND($B$9*1440,0),$F$9)+(90-25)*$F$9)&gt;=ROUND($D$9*1440,0),"",(CEILING(ROUND($B$9*1440,0),$F$9)+(90-25)*$F$9)/1440))</x:f>
      </x:c>
      <x:c r="B90" s="6" t="str">
        <x:f>IF(A90="","",A90-$C$17/1440)</x:f>
      </x:c>
      <x:c r="C90" s="6" t="str">
        <x:f>IF(A90="","",A90+($B$17+$D$17)/1440)</x:f>
      </x:c>
      <x:c r="D90" s="18" t="str">
        <x:f>IF(A90="","",IF($B$12=0,0,MAX(0,MIN(ROUND($C90*1440,0),ROUND($H$12*1440,0))-MAX(ROUND($B90*1440,0),ROUND($G$12*1440,0)))))</x:f>
      </x:c>
      <x:c r="E90" s="18" t="str">
        <x:f>IF(A90="","",IF($B$13=0,0,MAX(0,MIN(ROUND($C90*1440,0),ROUND($H$13*1440,0))-MAX(ROUND($B90*1440,0),ROUND($G$13*1440,0)))))</x:f>
      </x:c>
      <x:c r="F90" s="18" t="str">
        <x:f>IF(A90="","",IF($B$14=0,0,MAX(0,MIN(ROUND($C90*1440,0),ROUND($H$14*1440,0))-MAX(ROUND($B90*1440,0),ROUND($G$14*1440,0)))))</x:f>
      </x:c>
      <x:c r="G90" s="2" t="str">
        <x:f>IF(A90="","",IF(OR(ROUND(B90*1440,0)&lt;ROUND($B$9*1440,0),ROUND(C90*1440,0)&gt;ROUND($D$9*1440,0)),"時間外","時間内"))</x:f>
      </x:c>
      <x:c r="H90" s="2" t="str">
        <x:f>IF($B$20&lt;&gt;"入力OK","入力待ち",IF(A90="","",IF(G90="時間外","対象外",IF(SUM(D90:F90)&gt;0,"重複あり","候補"))))</x:f>
      </x:c>
      <x:c r="I90" s="2"/>
    </x:row>
    <x:row r="91" ht="24" customHeight="1">
      <x:c r="A91" s="6" t="str">
        <x:f>IF($B$20&lt;&gt;"入力OK","",IF((CEILING(ROUND($B$9*1440,0),$F$9)+(91-25)*$F$9)&gt;=ROUND($D$9*1440,0),"",(CEILING(ROUND($B$9*1440,0),$F$9)+(91-25)*$F$9)/1440))</x:f>
      </x:c>
      <x:c r="B91" s="6" t="str">
        <x:f>IF(A91="","",A91-$C$17/1440)</x:f>
      </x:c>
      <x:c r="C91" s="6" t="str">
        <x:f>IF(A91="","",A91+($B$17+$D$17)/1440)</x:f>
      </x:c>
      <x:c r="D91" s="18" t="str">
        <x:f>IF(A91="","",IF($B$12=0,0,MAX(0,MIN(ROUND($C91*1440,0),ROUND($H$12*1440,0))-MAX(ROUND($B91*1440,0),ROUND($G$12*1440,0)))))</x:f>
      </x:c>
      <x:c r="E91" s="18" t="str">
        <x:f>IF(A91="","",IF($B$13=0,0,MAX(0,MIN(ROUND($C91*1440,0),ROUND($H$13*1440,0))-MAX(ROUND($B91*1440,0),ROUND($G$13*1440,0)))))</x:f>
      </x:c>
      <x:c r="F91" s="18" t="str">
        <x:f>IF(A91="","",IF($B$14=0,0,MAX(0,MIN(ROUND($C91*1440,0),ROUND($H$14*1440,0))-MAX(ROUND($B91*1440,0),ROUND($G$14*1440,0)))))</x:f>
      </x:c>
      <x:c r="G91" s="2" t="str">
        <x:f>IF(A91="","",IF(OR(ROUND(B91*1440,0)&lt;ROUND($B$9*1440,0),ROUND(C91*1440,0)&gt;ROUND($D$9*1440,0)),"時間外","時間内"))</x:f>
      </x:c>
      <x:c r="H91" s="2" t="str">
        <x:f>IF($B$20&lt;&gt;"入力OK","入力待ち",IF(A91="","",IF(G91="時間外","対象外",IF(SUM(D91:F91)&gt;0,"重複あり","候補"))))</x:f>
      </x:c>
      <x:c r="I91" s="2"/>
    </x:row>
    <x:row r="92" ht="24" customHeight="1">
      <x:c r="A92" s="6" t="str">
        <x:f>IF($B$20&lt;&gt;"入力OK","",IF((CEILING(ROUND($B$9*1440,0),$F$9)+(92-25)*$F$9)&gt;=ROUND($D$9*1440,0),"",(CEILING(ROUND($B$9*1440,0),$F$9)+(92-25)*$F$9)/1440))</x:f>
      </x:c>
      <x:c r="B92" s="6" t="str">
        <x:f>IF(A92="","",A92-$C$17/1440)</x:f>
      </x:c>
      <x:c r="C92" s="6" t="str">
        <x:f>IF(A92="","",A92+($B$17+$D$17)/1440)</x:f>
      </x:c>
      <x:c r="D92" s="18" t="str">
        <x:f>IF(A92="","",IF($B$12=0,0,MAX(0,MIN(ROUND($C92*1440,0),ROUND($H$12*1440,0))-MAX(ROUND($B92*1440,0),ROUND($G$12*1440,0)))))</x:f>
      </x:c>
      <x:c r="E92" s="18" t="str">
        <x:f>IF(A92="","",IF($B$13=0,0,MAX(0,MIN(ROUND($C92*1440,0),ROUND($H$13*1440,0))-MAX(ROUND($B92*1440,0),ROUND($G$13*1440,0)))))</x:f>
      </x:c>
      <x:c r="F92" s="18" t="str">
        <x:f>IF(A92="","",IF($B$14=0,0,MAX(0,MIN(ROUND($C92*1440,0),ROUND($H$14*1440,0))-MAX(ROUND($B92*1440,0),ROUND($G$14*1440,0)))))</x:f>
      </x:c>
      <x:c r="G92" s="2" t="str">
        <x:f>IF(A92="","",IF(OR(ROUND(B92*1440,0)&lt;ROUND($B$9*1440,0),ROUND(C92*1440,0)&gt;ROUND($D$9*1440,0)),"時間外","時間内"))</x:f>
      </x:c>
      <x:c r="H92" s="2" t="str">
        <x:f>IF($B$20&lt;&gt;"入力OK","入力待ち",IF(A92="","",IF(G92="時間外","対象外",IF(SUM(D92:F92)&gt;0,"重複あり","候補"))))</x:f>
      </x:c>
      <x:c r="I92" s="2"/>
    </x:row>
    <x:row r="93" ht="24" customHeight="1">
      <x:c r="A93" s="6" t="str">
        <x:f>IF($B$20&lt;&gt;"入力OK","",IF((CEILING(ROUND($B$9*1440,0),$F$9)+(93-25)*$F$9)&gt;=ROUND($D$9*1440,0),"",(CEILING(ROUND($B$9*1440,0),$F$9)+(93-25)*$F$9)/1440))</x:f>
      </x:c>
      <x:c r="B93" s="6" t="str">
        <x:f>IF(A93="","",A93-$C$17/1440)</x:f>
      </x:c>
      <x:c r="C93" s="6" t="str">
        <x:f>IF(A93="","",A93+($B$17+$D$17)/1440)</x:f>
      </x:c>
      <x:c r="D93" s="18" t="str">
        <x:f>IF(A93="","",IF($B$12=0,0,MAX(0,MIN(ROUND($C93*1440,0),ROUND($H$12*1440,0))-MAX(ROUND($B93*1440,0),ROUND($G$12*1440,0)))))</x:f>
      </x:c>
      <x:c r="E93" s="18" t="str">
        <x:f>IF(A93="","",IF($B$13=0,0,MAX(0,MIN(ROUND($C93*1440,0),ROUND($H$13*1440,0))-MAX(ROUND($B93*1440,0),ROUND($G$13*1440,0)))))</x:f>
      </x:c>
      <x:c r="F93" s="18" t="str">
        <x:f>IF(A93="","",IF($B$14=0,0,MAX(0,MIN(ROUND($C93*1440,0),ROUND($H$14*1440,0))-MAX(ROUND($B93*1440,0),ROUND($G$14*1440,0)))))</x:f>
      </x:c>
      <x:c r="G93" s="2" t="str">
        <x:f>IF(A93="","",IF(OR(ROUND(B93*1440,0)&lt;ROUND($B$9*1440,0),ROUND(C93*1440,0)&gt;ROUND($D$9*1440,0)),"時間外","時間内"))</x:f>
      </x:c>
      <x:c r="H93" s="2" t="str">
        <x:f>IF($B$20&lt;&gt;"入力OK","入力待ち",IF(A93="","",IF(G93="時間外","対象外",IF(SUM(D93:F93)&gt;0,"重複あり","候補"))))</x:f>
      </x:c>
      <x:c r="I93" s="2"/>
    </x:row>
    <x:row r="94" ht="24" customHeight="1">
      <x:c r="A94" s="6" t="str">
        <x:f>IF($B$20&lt;&gt;"入力OK","",IF((CEILING(ROUND($B$9*1440,0),$F$9)+(94-25)*$F$9)&gt;=ROUND($D$9*1440,0),"",(CEILING(ROUND($B$9*1440,0),$F$9)+(94-25)*$F$9)/1440))</x:f>
      </x:c>
      <x:c r="B94" s="6" t="str">
        <x:f>IF(A94="","",A94-$C$17/1440)</x:f>
      </x:c>
      <x:c r="C94" s="6" t="str">
        <x:f>IF(A94="","",A94+($B$17+$D$17)/1440)</x:f>
      </x:c>
      <x:c r="D94" s="18" t="str">
        <x:f>IF(A94="","",IF($B$12=0,0,MAX(0,MIN(ROUND($C94*1440,0),ROUND($H$12*1440,0))-MAX(ROUND($B94*1440,0),ROUND($G$12*1440,0)))))</x:f>
      </x:c>
      <x:c r="E94" s="18" t="str">
        <x:f>IF(A94="","",IF($B$13=0,0,MAX(0,MIN(ROUND($C94*1440,0),ROUND($H$13*1440,0))-MAX(ROUND($B94*1440,0),ROUND($G$13*1440,0)))))</x:f>
      </x:c>
      <x:c r="F94" s="18" t="str">
        <x:f>IF(A94="","",IF($B$14=0,0,MAX(0,MIN(ROUND($C94*1440,0),ROUND($H$14*1440,0))-MAX(ROUND($B94*1440,0),ROUND($G$14*1440,0)))))</x:f>
      </x:c>
      <x:c r="G94" s="2" t="str">
        <x:f>IF(A94="","",IF(OR(ROUND(B94*1440,0)&lt;ROUND($B$9*1440,0),ROUND(C94*1440,0)&gt;ROUND($D$9*1440,0)),"時間外","時間内"))</x:f>
      </x:c>
      <x:c r="H94" s="2" t="str">
        <x:f>IF($B$20&lt;&gt;"入力OK","入力待ち",IF(A94="","",IF(G94="時間外","対象外",IF(SUM(D94:F94)&gt;0,"重複あり","候補"))))</x:f>
      </x:c>
      <x:c r="I94" s="2"/>
    </x:row>
    <x:row r="95" ht="24" customHeight="1">
      <x:c r="A95" s="6" t="str">
        <x:f>IF($B$20&lt;&gt;"入力OK","",IF((CEILING(ROUND($B$9*1440,0),$F$9)+(95-25)*$F$9)&gt;=ROUND($D$9*1440,0),"",(CEILING(ROUND($B$9*1440,0),$F$9)+(95-25)*$F$9)/1440))</x:f>
      </x:c>
      <x:c r="B95" s="6" t="str">
        <x:f>IF(A95="","",A95-$C$17/1440)</x:f>
      </x:c>
      <x:c r="C95" s="6" t="str">
        <x:f>IF(A95="","",A95+($B$17+$D$17)/1440)</x:f>
      </x:c>
      <x:c r="D95" s="18" t="str">
        <x:f>IF(A95="","",IF($B$12=0,0,MAX(0,MIN(ROUND($C95*1440,0),ROUND($H$12*1440,0))-MAX(ROUND($B95*1440,0),ROUND($G$12*1440,0)))))</x:f>
      </x:c>
      <x:c r="E95" s="18" t="str">
        <x:f>IF(A95="","",IF($B$13=0,0,MAX(0,MIN(ROUND($C95*1440,0),ROUND($H$13*1440,0))-MAX(ROUND($B95*1440,0),ROUND($G$13*1440,0)))))</x:f>
      </x:c>
      <x:c r="F95" s="18" t="str">
        <x:f>IF(A95="","",IF($B$14=0,0,MAX(0,MIN(ROUND($C95*1440,0),ROUND($H$14*1440,0))-MAX(ROUND($B95*1440,0),ROUND($G$14*1440,0)))))</x:f>
      </x:c>
      <x:c r="G95" s="2" t="str">
        <x:f>IF(A95="","",IF(OR(ROUND(B95*1440,0)&lt;ROUND($B$9*1440,0),ROUND(C95*1440,0)&gt;ROUND($D$9*1440,0)),"時間外","時間内"))</x:f>
      </x:c>
      <x:c r="H95" s="2" t="str">
        <x:f>IF($B$20&lt;&gt;"入力OK","入力待ち",IF(A95="","",IF(G95="時間外","対象外",IF(SUM(D95:F95)&gt;0,"重複あり","候補"))))</x:f>
      </x:c>
      <x:c r="I95" s="2"/>
    </x:row>
    <x:row r="96" ht="24" customHeight="1">
      <x:c r="A96" s="6" t="str">
        <x:f>IF($B$20&lt;&gt;"入力OK","",IF((CEILING(ROUND($B$9*1440,0),$F$9)+(96-25)*$F$9)&gt;=ROUND($D$9*1440,0),"",(CEILING(ROUND($B$9*1440,0),$F$9)+(96-25)*$F$9)/1440))</x:f>
      </x:c>
      <x:c r="B96" s="6" t="str">
        <x:f>IF(A96="","",A96-$C$17/1440)</x:f>
      </x:c>
      <x:c r="C96" s="6" t="str">
        <x:f>IF(A96="","",A96+($B$17+$D$17)/1440)</x:f>
      </x:c>
      <x:c r="D96" s="18" t="str">
        <x:f>IF(A96="","",IF($B$12=0,0,MAX(0,MIN(ROUND($C96*1440,0),ROUND($H$12*1440,0))-MAX(ROUND($B96*1440,0),ROUND($G$12*1440,0)))))</x:f>
      </x:c>
      <x:c r="E96" s="18" t="str">
        <x:f>IF(A96="","",IF($B$13=0,0,MAX(0,MIN(ROUND($C96*1440,0),ROUND($H$13*1440,0))-MAX(ROUND($B96*1440,0),ROUND($G$13*1440,0)))))</x:f>
      </x:c>
      <x:c r="F96" s="18" t="str">
        <x:f>IF(A96="","",IF($B$14=0,0,MAX(0,MIN(ROUND($C96*1440,0),ROUND($H$14*1440,0))-MAX(ROUND($B96*1440,0),ROUND($G$14*1440,0)))))</x:f>
      </x:c>
      <x:c r="G96" s="2" t="str">
        <x:f>IF(A96="","",IF(OR(ROUND(B96*1440,0)&lt;ROUND($B$9*1440,0),ROUND(C96*1440,0)&gt;ROUND($D$9*1440,0)),"時間外","時間内"))</x:f>
      </x:c>
      <x:c r="H96" s="2" t="str">
        <x:f>IF($B$20&lt;&gt;"入力OK","入力待ち",IF(A96="","",IF(G96="時間外","対象外",IF(SUM(D96:F96)&gt;0,"重複あり","候補"))))</x:f>
      </x:c>
      <x:c r="I96" s="2"/>
    </x:row>
    <x:row r="97" ht="24" customHeight="1">
      <x:c r="A97" s="6" t="str">
        <x:f>IF($B$20&lt;&gt;"入力OK","",IF((CEILING(ROUND($B$9*1440,0),$F$9)+(97-25)*$F$9)&gt;=ROUND($D$9*1440,0),"",(CEILING(ROUND($B$9*1440,0),$F$9)+(97-25)*$F$9)/1440))</x:f>
      </x:c>
      <x:c r="B97" s="6" t="str">
        <x:f>IF(A97="","",A97-$C$17/1440)</x:f>
      </x:c>
      <x:c r="C97" s="6" t="str">
        <x:f>IF(A97="","",A97+($B$17+$D$17)/1440)</x:f>
      </x:c>
      <x:c r="D97" s="18" t="str">
        <x:f>IF(A97="","",IF($B$12=0,0,MAX(0,MIN(ROUND($C97*1440,0),ROUND($H$12*1440,0))-MAX(ROUND($B97*1440,0),ROUND($G$12*1440,0)))))</x:f>
      </x:c>
      <x:c r="E97" s="18" t="str">
        <x:f>IF(A97="","",IF($B$13=0,0,MAX(0,MIN(ROUND($C97*1440,0),ROUND($H$13*1440,0))-MAX(ROUND($B97*1440,0),ROUND($G$13*1440,0)))))</x:f>
      </x:c>
      <x:c r="F97" s="18" t="str">
        <x:f>IF(A97="","",IF($B$14=0,0,MAX(0,MIN(ROUND($C97*1440,0),ROUND($H$14*1440,0))-MAX(ROUND($B97*1440,0),ROUND($G$14*1440,0)))))</x:f>
      </x:c>
      <x:c r="G97" s="2" t="str">
        <x:f>IF(A97="","",IF(OR(ROUND(B97*1440,0)&lt;ROUND($B$9*1440,0),ROUND(C97*1440,0)&gt;ROUND($D$9*1440,0)),"時間外","時間内"))</x:f>
      </x:c>
      <x:c r="H97" s="2" t="str">
        <x:f>IF($B$20&lt;&gt;"入力OK","入力待ち",IF(A97="","",IF(G97="時間外","対象外",IF(SUM(D97:F97)&gt;0,"重複あり","候補"))))</x:f>
      </x:c>
      <x:c r="I97" s="2"/>
    </x:row>
    <x:row r="98" ht="24" customHeight="1">
      <x:c r="A98" s="6" t="str">
        <x:f>IF($B$20&lt;&gt;"入力OK","",IF((CEILING(ROUND($B$9*1440,0),$F$9)+(98-25)*$F$9)&gt;=ROUND($D$9*1440,0),"",(CEILING(ROUND($B$9*1440,0),$F$9)+(98-25)*$F$9)/1440))</x:f>
      </x:c>
      <x:c r="B98" s="6" t="str">
        <x:f>IF(A98="","",A98-$C$17/1440)</x:f>
      </x:c>
      <x:c r="C98" s="6" t="str">
        <x:f>IF(A98="","",A98+($B$17+$D$17)/1440)</x:f>
      </x:c>
      <x:c r="D98" s="18" t="str">
        <x:f>IF(A98="","",IF($B$12=0,0,MAX(0,MIN(ROUND($C98*1440,0),ROUND($H$12*1440,0))-MAX(ROUND($B98*1440,0),ROUND($G$12*1440,0)))))</x:f>
      </x:c>
      <x:c r="E98" s="18" t="str">
        <x:f>IF(A98="","",IF($B$13=0,0,MAX(0,MIN(ROUND($C98*1440,0),ROUND($H$13*1440,0))-MAX(ROUND($B98*1440,0),ROUND($G$13*1440,0)))))</x:f>
      </x:c>
      <x:c r="F98" s="18" t="str">
        <x:f>IF(A98="","",IF($B$14=0,0,MAX(0,MIN(ROUND($C98*1440,0),ROUND($H$14*1440,0))-MAX(ROUND($B98*1440,0),ROUND($G$14*1440,0)))))</x:f>
      </x:c>
      <x:c r="G98" s="2" t="str">
        <x:f>IF(A98="","",IF(OR(ROUND(B98*1440,0)&lt;ROUND($B$9*1440,0),ROUND(C98*1440,0)&gt;ROUND($D$9*1440,0)),"時間外","時間内"))</x:f>
      </x:c>
      <x:c r="H98" s="2" t="str">
        <x:f>IF($B$20&lt;&gt;"入力OK","入力待ち",IF(A98="","",IF(G98="時間外","対象外",IF(SUM(D98:F98)&gt;0,"重複あり","候補"))))</x:f>
      </x:c>
      <x:c r="I98" s="2"/>
    </x:row>
    <x:row r="99" ht="24" customHeight="1">
      <x:c r="A99" s="6" t="str">
        <x:f>IF($B$20&lt;&gt;"入力OK","",IF((CEILING(ROUND($B$9*1440,0),$F$9)+(99-25)*$F$9)&gt;=ROUND($D$9*1440,0),"",(CEILING(ROUND($B$9*1440,0),$F$9)+(99-25)*$F$9)/1440))</x:f>
      </x:c>
      <x:c r="B99" s="6" t="str">
        <x:f>IF(A99="","",A99-$C$17/1440)</x:f>
      </x:c>
      <x:c r="C99" s="6" t="str">
        <x:f>IF(A99="","",A99+($B$17+$D$17)/1440)</x:f>
      </x:c>
      <x:c r="D99" s="18" t="str">
        <x:f>IF(A99="","",IF($B$12=0,0,MAX(0,MIN(ROUND($C99*1440,0),ROUND($H$12*1440,0))-MAX(ROUND($B99*1440,0),ROUND($G$12*1440,0)))))</x:f>
      </x:c>
      <x:c r="E99" s="18" t="str">
        <x:f>IF(A99="","",IF($B$13=0,0,MAX(0,MIN(ROUND($C99*1440,0),ROUND($H$13*1440,0))-MAX(ROUND($B99*1440,0),ROUND($G$13*1440,0)))))</x:f>
      </x:c>
      <x:c r="F99" s="18" t="str">
        <x:f>IF(A99="","",IF($B$14=0,0,MAX(0,MIN(ROUND($C99*1440,0),ROUND($H$14*1440,0))-MAX(ROUND($B99*1440,0),ROUND($G$14*1440,0)))))</x:f>
      </x:c>
      <x:c r="G99" s="2" t="str">
        <x:f>IF(A99="","",IF(OR(ROUND(B99*1440,0)&lt;ROUND($B$9*1440,0),ROUND(C99*1440,0)&gt;ROUND($D$9*1440,0)),"時間外","時間内"))</x:f>
      </x:c>
      <x:c r="H99" s="2" t="str">
        <x:f>IF($B$20&lt;&gt;"入力OK","入力待ち",IF(A99="","",IF(G99="時間外","対象外",IF(SUM(D99:F99)&gt;0,"重複あり","候補"))))</x:f>
      </x:c>
      <x:c r="I99" s="2"/>
    </x:row>
    <x:row r="100" ht="24" customHeight="1">
      <x:c r="A100" s="6" t="str">
        <x:f>IF($B$20&lt;&gt;"入力OK","",IF((CEILING(ROUND($B$9*1440,0),$F$9)+(100-25)*$F$9)&gt;=ROUND($D$9*1440,0),"",(CEILING(ROUND($B$9*1440,0),$F$9)+(100-25)*$F$9)/1440))</x:f>
      </x:c>
      <x:c r="B100" s="6" t="str">
        <x:f>IF(A100="","",A100-$C$17/1440)</x:f>
      </x:c>
      <x:c r="C100" s="6" t="str">
        <x:f>IF(A100="","",A100+($B$17+$D$17)/1440)</x:f>
      </x:c>
      <x:c r="D100" s="18" t="str">
        <x:f>IF(A100="","",IF($B$12=0,0,MAX(0,MIN(ROUND($C100*1440,0),ROUND($H$12*1440,0))-MAX(ROUND($B100*1440,0),ROUND($G$12*1440,0)))))</x:f>
      </x:c>
      <x:c r="E100" s="18" t="str">
        <x:f>IF(A100="","",IF($B$13=0,0,MAX(0,MIN(ROUND($C100*1440,0),ROUND($H$13*1440,0))-MAX(ROUND($B100*1440,0),ROUND($G$13*1440,0)))))</x:f>
      </x:c>
      <x:c r="F100" s="18" t="str">
        <x:f>IF(A100="","",IF($B$14=0,0,MAX(0,MIN(ROUND($C100*1440,0),ROUND($H$14*1440,0))-MAX(ROUND($B100*1440,0),ROUND($G$14*1440,0)))))</x:f>
      </x:c>
      <x:c r="G100" s="2" t="str">
        <x:f>IF(A100="","",IF(OR(ROUND(B100*1440,0)&lt;ROUND($B$9*1440,0),ROUND(C100*1440,0)&gt;ROUND($D$9*1440,0)),"時間外","時間内"))</x:f>
      </x:c>
      <x:c r="H100" s="2" t="str">
        <x:f>IF($B$20&lt;&gt;"入力OK","入力待ち",IF(A100="","",IF(G100="時間外","対象外",IF(SUM(D100:F100)&gt;0,"重複あり","候補"))))</x:f>
      </x:c>
      <x:c r="I100" s="2"/>
    </x:row>
    <x:row r="101" ht="24" customHeight="1">
      <x:c r="A101" s="6" t="str">
        <x:f>IF($B$20&lt;&gt;"入力OK","",IF((CEILING(ROUND($B$9*1440,0),$F$9)+(101-25)*$F$9)&gt;=ROUND($D$9*1440,0),"",(CEILING(ROUND($B$9*1440,0),$F$9)+(101-25)*$F$9)/1440))</x:f>
      </x:c>
      <x:c r="B101" s="6" t="str">
        <x:f>IF(A101="","",A101-$C$17/1440)</x:f>
      </x:c>
      <x:c r="C101" s="6" t="str">
        <x:f>IF(A101="","",A101+($B$17+$D$17)/1440)</x:f>
      </x:c>
      <x:c r="D101" s="18" t="str">
        <x:f>IF(A101="","",IF($B$12=0,0,MAX(0,MIN(ROUND($C101*1440,0),ROUND($H$12*1440,0))-MAX(ROUND($B101*1440,0),ROUND($G$12*1440,0)))))</x:f>
      </x:c>
      <x:c r="E101" s="18" t="str">
        <x:f>IF(A101="","",IF($B$13=0,0,MAX(0,MIN(ROUND($C101*1440,0),ROUND($H$13*1440,0))-MAX(ROUND($B101*1440,0),ROUND($G$13*1440,0)))))</x:f>
      </x:c>
      <x:c r="F101" s="18" t="str">
        <x:f>IF(A101="","",IF($B$14=0,0,MAX(0,MIN(ROUND($C101*1440,0),ROUND($H$14*1440,0))-MAX(ROUND($B101*1440,0),ROUND($G$14*1440,0)))))</x:f>
      </x:c>
      <x:c r="G101" s="2" t="str">
        <x:f>IF(A101="","",IF(OR(ROUND(B101*1440,0)&lt;ROUND($B$9*1440,0),ROUND(C101*1440,0)&gt;ROUND($D$9*1440,0)),"時間外","時間内"))</x:f>
      </x:c>
      <x:c r="H101" s="2" t="str">
        <x:f>IF($B$20&lt;&gt;"入力OK","入力待ち",IF(A101="","",IF(G101="時間外","対象外",IF(SUM(D101:F101)&gt;0,"重複あり","候補"))))</x:f>
      </x:c>
      <x:c r="I101" s="2"/>
    </x:row>
    <x:row r="102" ht="24" customHeight="1">
      <x:c r="A102" s="6" t="str">
        <x:f>IF($B$20&lt;&gt;"入力OK","",IF((CEILING(ROUND($B$9*1440,0),$F$9)+(102-25)*$F$9)&gt;=ROUND($D$9*1440,0),"",(CEILING(ROUND($B$9*1440,0),$F$9)+(102-25)*$F$9)/1440))</x:f>
      </x:c>
      <x:c r="B102" s="6" t="str">
        <x:f>IF(A102="","",A102-$C$17/1440)</x:f>
      </x:c>
      <x:c r="C102" s="6" t="str">
        <x:f>IF(A102="","",A102+($B$17+$D$17)/1440)</x:f>
      </x:c>
      <x:c r="D102" s="18" t="str">
        <x:f>IF(A102="","",IF($B$12=0,0,MAX(0,MIN(ROUND($C102*1440,0),ROUND($H$12*1440,0))-MAX(ROUND($B102*1440,0),ROUND($G$12*1440,0)))))</x:f>
      </x:c>
      <x:c r="E102" s="18" t="str">
        <x:f>IF(A102="","",IF($B$13=0,0,MAX(0,MIN(ROUND($C102*1440,0),ROUND($H$13*1440,0))-MAX(ROUND($B102*1440,0),ROUND($G$13*1440,0)))))</x:f>
      </x:c>
      <x:c r="F102" s="18" t="str">
        <x:f>IF(A102="","",IF($B$14=0,0,MAX(0,MIN(ROUND($C102*1440,0),ROUND($H$14*1440,0))-MAX(ROUND($B102*1440,0),ROUND($G$14*1440,0)))))</x:f>
      </x:c>
      <x:c r="G102" s="2" t="str">
        <x:f>IF(A102="","",IF(OR(ROUND(B102*1440,0)&lt;ROUND($B$9*1440,0),ROUND(C102*1440,0)&gt;ROUND($D$9*1440,0)),"時間外","時間内"))</x:f>
      </x:c>
      <x:c r="H102" s="2" t="str">
        <x:f>IF($B$20&lt;&gt;"入力OK","入力待ち",IF(A102="","",IF(G102="時間外","対象外",IF(SUM(D102:F102)&gt;0,"重複あり","候補"))))</x:f>
      </x:c>
      <x:c r="I102" s="2"/>
    </x:row>
    <x:row r="103" ht="24" customHeight="1">
      <x:c r="A103" s="6" t="str">
        <x:f>IF($B$20&lt;&gt;"入力OK","",IF((CEILING(ROUND($B$9*1440,0),$F$9)+(103-25)*$F$9)&gt;=ROUND($D$9*1440,0),"",(CEILING(ROUND($B$9*1440,0),$F$9)+(103-25)*$F$9)/1440))</x:f>
      </x:c>
      <x:c r="B103" s="6" t="str">
        <x:f>IF(A103="","",A103-$C$17/1440)</x:f>
      </x:c>
      <x:c r="C103" s="6" t="str">
        <x:f>IF(A103="","",A103+($B$17+$D$17)/1440)</x:f>
      </x:c>
      <x:c r="D103" s="18" t="str">
        <x:f>IF(A103="","",IF($B$12=0,0,MAX(0,MIN(ROUND($C103*1440,0),ROUND($H$12*1440,0))-MAX(ROUND($B103*1440,0),ROUND($G$12*1440,0)))))</x:f>
      </x:c>
      <x:c r="E103" s="18" t="str">
        <x:f>IF(A103="","",IF($B$13=0,0,MAX(0,MIN(ROUND($C103*1440,0),ROUND($H$13*1440,0))-MAX(ROUND($B103*1440,0),ROUND($G$13*1440,0)))))</x:f>
      </x:c>
      <x:c r="F103" s="18" t="str">
        <x:f>IF(A103="","",IF($B$14=0,0,MAX(0,MIN(ROUND($C103*1440,0),ROUND($H$14*1440,0))-MAX(ROUND($B103*1440,0),ROUND($G$14*1440,0)))))</x:f>
      </x:c>
      <x:c r="G103" s="2" t="str">
        <x:f>IF(A103="","",IF(OR(ROUND(B103*1440,0)&lt;ROUND($B$9*1440,0),ROUND(C103*1440,0)&gt;ROUND($D$9*1440,0)),"時間外","時間内"))</x:f>
      </x:c>
      <x:c r="H103" s="2" t="str">
        <x:f>IF($B$20&lt;&gt;"入力OK","入力待ち",IF(A103="","",IF(G103="時間外","対象外",IF(SUM(D103:F103)&gt;0,"重複あり","候補"))))</x:f>
      </x:c>
      <x:c r="I103" s="2"/>
    </x:row>
    <x:row r="104" ht="24" customHeight="1">
      <x:c r="A104" s="6" t="str">
        <x:f>IF($B$20&lt;&gt;"入力OK","",IF((CEILING(ROUND($B$9*1440,0),$F$9)+(104-25)*$F$9)&gt;=ROUND($D$9*1440,0),"",(CEILING(ROUND($B$9*1440,0),$F$9)+(104-25)*$F$9)/1440))</x:f>
      </x:c>
      <x:c r="B104" s="6" t="str">
        <x:f>IF(A104="","",A104-$C$17/1440)</x:f>
      </x:c>
      <x:c r="C104" s="6" t="str">
        <x:f>IF(A104="","",A104+($B$17+$D$17)/1440)</x:f>
      </x:c>
      <x:c r="D104" s="18" t="str">
        <x:f>IF(A104="","",IF($B$12=0,0,MAX(0,MIN(ROUND($C104*1440,0),ROUND($H$12*1440,0))-MAX(ROUND($B104*1440,0),ROUND($G$12*1440,0)))))</x:f>
      </x:c>
      <x:c r="E104" s="18" t="str">
        <x:f>IF(A104="","",IF($B$13=0,0,MAX(0,MIN(ROUND($C104*1440,0),ROUND($H$13*1440,0))-MAX(ROUND($B104*1440,0),ROUND($G$13*1440,0)))))</x:f>
      </x:c>
      <x:c r="F104" s="18" t="str">
        <x:f>IF(A104="","",IF($B$14=0,0,MAX(0,MIN(ROUND($C104*1440,0),ROUND($H$14*1440,0))-MAX(ROUND($B104*1440,0),ROUND($G$14*1440,0)))))</x:f>
      </x:c>
      <x:c r="G104" s="2" t="str">
        <x:f>IF(A104="","",IF(OR(ROUND(B104*1440,0)&lt;ROUND($B$9*1440,0),ROUND(C104*1440,0)&gt;ROUND($D$9*1440,0)),"時間外","時間内"))</x:f>
      </x:c>
      <x:c r="H104" s="2" t="str">
        <x:f>IF($B$20&lt;&gt;"入力OK","入力待ち",IF(A104="","",IF(G104="時間外","対象外",IF(SUM(D104:F104)&gt;0,"重複あり","候補"))))</x:f>
      </x:c>
      <x:c r="I104" s="2"/>
    </x:row>
    <x:row r="105" ht="24" customHeight="1">
      <x:c r="A105" s="6" t="str">
        <x:f>IF($B$20&lt;&gt;"入力OK","",IF((CEILING(ROUND($B$9*1440,0),$F$9)+(105-25)*$F$9)&gt;=ROUND($D$9*1440,0),"",(CEILING(ROUND($B$9*1440,0),$F$9)+(105-25)*$F$9)/1440))</x:f>
      </x:c>
      <x:c r="B105" s="6" t="str">
        <x:f>IF(A105="","",A105-$C$17/1440)</x:f>
      </x:c>
      <x:c r="C105" s="6" t="str">
        <x:f>IF(A105="","",A105+($B$17+$D$17)/1440)</x:f>
      </x:c>
      <x:c r="D105" s="18" t="str">
        <x:f>IF(A105="","",IF($B$12=0,0,MAX(0,MIN(ROUND($C105*1440,0),ROUND($H$12*1440,0))-MAX(ROUND($B105*1440,0),ROUND($G$12*1440,0)))))</x:f>
      </x:c>
      <x:c r="E105" s="18" t="str">
        <x:f>IF(A105="","",IF($B$13=0,0,MAX(0,MIN(ROUND($C105*1440,0),ROUND($H$13*1440,0))-MAX(ROUND($B105*1440,0),ROUND($G$13*1440,0)))))</x:f>
      </x:c>
      <x:c r="F105" s="18" t="str">
        <x:f>IF(A105="","",IF($B$14=0,0,MAX(0,MIN(ROUND($C105*1440,0),ROUND($H$14*1440,0))-MAX(ROUND($B105*1440,0),ROUND($G$14*1440,0)))))</x:f>
      </x:c>
      <x:c r="G105" s="2" t="str">
        <x:f>IF(A105="","",IF(OR(ROUND(B105*1440,0)&lt;ROUND($B$9*1440,0),ROUND(C105*1440,0)&gt;ROUND($D$9*1440,0)),"時間外","時間内"))</x:f>
      </x:c>
      <x:c r="H105" s="2" t="str">
        <x:f>IF($B$20&lt;&gt;"入力OK","入力待ち",IF(A105="","",IF(G105="時間外","対象外",IF(SUM(D105:F105)&gt;0,"重複あり","候補"))))</x:f>
      </x:c>
      <x:c r="I105" s="2"/>
    </x:row>
    <x:row r="106" ht="24" customHeight="1">
      <x:c r="A106" s="6" t="str">
        <x:f>IF($B$20&lt;&gt;"入力OK","",IF((CEILING(ROUND($B$9*1440,0),$F$9)+(106-25)*$F$9)&gt;=ROUND($D$9*1440,0),"",(CEILING(ROUND($B$9*1440,0),$F$9)+(106-25)*$F$9)/1440))</x:f>
      </x:c>
      <x:c r="B106" s="6" t="str">
        <x:f>IF(A106="","",A106-$C$17/1440)</x:f>
      </x:c>
      <x:c r="C106" s="6" t="str">
        <x:f>IF(A106="","",A106+($B$17+$D$17)/1440)</x:f>
      </x:c>
      <x:c r="D106" s="18" t="str">
        <x:f>IF(A106="","",IF($B$12=0,0,MAX(0,MIN(ROUND($C106*1440,0),ROUND($H$12*1440,0))-MAX(ROUND($B106*1440,0),ROUND($G$12*1440,0)))))</x:f>
      </x:c>
      <x:c r="E106" s="18" t="str">
        <x:f>IF(A106="","",IF($B$13=0,0,MAX(0,MIN(ROUND($C106*1440,0),ROUND($H$13*1440,0))-MAX(ROUND($B106*1440,0),ROUND($G$13*1440,0)))))</x:f>
      </x:c>
      <x:c r="F106" s="18" t="str">
        <x:f>IF(A106="","",IF($B$14=0,0,MAX(0,MIN(ROUND($C106*1440,0),ROUND($H$14*1440,0))-MAX(ROUND($B106*1440,0),ROUND($G$14*1440,0)))))</x:f>
      </x:c>
      <x:c r="G106" s="2" t="str">
        <x:f>IF(A106="","",IF(OR(ROUND(B106*1440,0)&lt;ROUND($B$9*1440,0),ROUND(C106*1440,0)&gt;ROUND($D$9*1440,0)),"時間外","時間内"))</x:f>
      </x:c>
      <x:c r="H106" s="2" t="str">
        <x:f>IF($B$20&lt;&gt;"入力OK","入力待ち",IF(A106="","",IF(G106="時間外","対象外",IF(SUM(D106:F106)&gt;0,"重複あり","候補"))))</x:f>
      </x:c>
      <x:c r="I106" s="2"/>
    </x:row>
    <x:row r="107" ht="24" customHeight="1">
      <x:c r="A107" s="6" t="str">
        <x:f>IF($B$20&lt;&gt;"入力OK","",IF((CEILING(ROUND($B$9*1440,0),$F$9)+(107-25)*$F$9)&gt;=ROUND($D$9*1440,0),"",(CEILING(ROUND($B$9*1440,0),$F$9)+(107-25)*$F$9)/1440))</x:f>
      </x:c>
      <x:c r="B107" s="6" t="str">
        <x:f>IF(A107="","",A107-$C$17/1440)</x:f>
      </x:c>
      <x:c r="C107" s="6" t="str">
        <x:f>IF(A107="","",A107+($B$17+$D$17)/1440)</x:f>
      </x:c>
      <x:c r="D107" s="18" t="str">
        <x:f>IF(A107="","",IF($B$12=0,0,MAX(0,MIN(ROUND($C107*1440,0),ROUND($H$12*1440,0))-MAX(ROUND($B107*1440,0),ROUND($G$12*1440,0)))))</x:f>
      </x:c>
      <x:c r="E107" s="18" t="str">
        <x:f>IF(A107="","",IF($B$13=0,0,MAX(0,MIN(ROUND($C107*1440,0),ROUND($H$13*1440,0))-MAX(ROUND($B107*1440,0),ROUND($G$13*1440,0)))))</x:f>
      </x:c>
      <x:c r="F107" s="18" t="str">
        <x:f>IF(A107="","",IF($B$14=0,0,MAX(0,MIN(ROUND($C107*1440,0),ROUND($H$14*1440,0))-MAX(ROUND($B107*1440,0),ROUND($G$14*1440,0)))))</x:f>
      </x:c>
      <x:c r="G107" s="2" t="str">
        <x:f>IF(A107="","",IF(OR(ROUND(B107*1440,0)&lt;ROUND($B$9*1440,0),ROUND(C107*1440,0)&gt;ROUND($D$9*1440,0)),"時間外","時間内"))</x:f>
      </x:c>
      <x:c r="H107" s="2" t="str">
        <x:f>IF($B$20&lt;&gt;"入力OK","入力待ち",IF(A107="","",IF(G107="時間外","対象外",IF(SUM(D107:F107)&gt;0,"重複あり","候補"))))</x:f>
      </x:c>
      <x:c r="I107" s="2"/>
    </x:row>
    <x:row r="108" ht="24" customHeight="1">
      <x:c r="A108" s="6" t="str">
        <x:f>IF($B$20&lt;&gt;"入力OK","",IF((CEILING(ROUND($B$9*1440,0),$F$9)+(108-25)*$F$9)&gt;=ROUND($D$9*1440,0),"",(CEILING(ROUND($B$9*1440,0),$F$9)+(108-25)*$F$9)/1440))</x:f>
      </x:c>
      <x:c r="B108" s="6" t="str">
        <x:f>IF(A108="","",A108-$C$17/1440)</x:f>
      </x:c>
      <x:c r="C108" s="6" t="str">
        <x:f>IF(A108="","",A108+($B$17+$D$17)/1440)</x:f>
      </x:c>
      <x:c r="D108" s="18" t="str">
        <x:f>IF(A108="","",IF($B$12=0,0,MAX(0,MIN(ROUND($C108*1440,0),ROUND($H$12*1440,0))-MAX(ROUND($B108*1440,0),ROUND($G$12*1440,0)))))</x:f>
      </x:c>
      <x:c r="E108" s="18" t="str">
        <x:f>IF(A108="","",IF($B$13=0,0,MAX(0,MIN(ROUND($C108*1440,0),ROUND($H$13*1440,0))-MAX(ROUND($B108*1440,0),ROUND($G$13*1440,0)))))</x:f>
      </x:c>
      <x:c r="F108" s="18" t="str">
        <x:f>IF(A108="","",IF($B$14=0,0,MAX(0,MIN(ROUND($C108*1440,0),ROUND($H$14*1440,0))-MAX(ROUND($B108*1440,0),ROUND($G$14*1440,0)))))</x:f>
      </x:c>
      <x:c r="G108" s="2" t="str">
        <x:f>IF(A108="","",IF(OR(ROUND(B108*1440,0)&lt;ROUND($B$9*1440,0),ROUND(C108*1440,0)&gt;ROUND($D$9*1440,0)),"時間外","時間内"))</x:f>
      </x:c>
      <x:c r="H108" s="2" t="str">
        <x:f>IF($B$20&lt;&gt;"入力OK","入力待ち",IF(A108="","",IF(G108="時間外","対象外",IF(SUM(D108:F108)&gt;0,"重複あり","候補"))))</x:f>
      </x:c>
      <x:c r="I108" s="2"/>
    </x:row>
    <x:row r="109" ht="24" customHeight="1">
      <x:c r="A109" s="6" t="str">
        <x:f>IF($B$20&lt;&gt;"入力OK","",IF((CEILING(ROUND($B$9*1440,0),$F$9)+(109-25)*$F$9)&gt;=ROUND($D$9*1440,0),"",(CEILING(ROUND($B$9*1440,0),$F$9)+(109-25)*$F$9)/1440))</x:f>
      </x:c>
      <x:c r="B109" s="6" t="str">
        <x:f>IF(A109="","",A109-$C$17/1440)</x:f>
      </x:c>
      <x:c r="C109" s="6" t="str">
        <x:f>IF(A109="","",A109+($B$17+$D$17)/1440)</x:f>
      </x:c>
      <x:c r="D109" s="18" t="str">
        <x:f>IF(A109="","",IF($B$12=0,0,MAX(0,MIN(ROUND($C109*1440,0),ROUND($H$12*1440,0))-MAX(ROUND($B109*1440,0),ROUND($G$12*1440,0)))))</x:f>
      </x:c>
      <x:c r="E109" s="18" t="str">
        <x:f>IF(A109="","",IF($B$13=0,0,MAX(0,MIN(ROUND($C109*1440,0),ROUND($H$13*1440,0))-MAX(ROUND($B109*1440,0),ROUND($G$13*1440,0)))))</x:f>
      </x:c>
      <x:c r="F109" s="18" t="str">
        <x:f>IF(A109="","",IF($B$14=0,0,MAX(0,MIN(ROUND($C109*1440,0),ROUND($H$14*1440,0))-MAX(ROUND($B109*1440,0),ROUND($G$14*1440,0)))))</x:f>
      </x:c>
      <x:c r="G109" s="2" t="str">
        <x:f>IF(A109="","",IF(OR(ROUND(B109*1440,0)&lt;ROUND($B$9*1440,0),ROUND(C109*1440,0)&gt;ROUND($D$9*1440,0)),"時間外","時間内"))</x:f>
      </x:c>
      <x:c r="H109" s="2" t="str">
        <x:f>IF($B$20&lt;&gt;"入力OK","入力待ち",IF(A109="","",IF(G109="時間外","対象外",IF(SUM(D109:F109)&gt;0,"重複あり","候補"))))</x:f>
      </x:c>
      <x:c r="I109" s="2"/>
    </x:row>
    <x:row r="110" ht="24" customHeight="1">
      <x:c r="A110" s="6" t="str">
        <x:f>IF($B$20&lt;&gt;"入力OK","",IF((CEILING(ROUND($B$9*1440,0),$F$9)+(110-25)*$F$9)&gt;=ROUND($D$9*1440,0),"",(CEILING(ROUND($B$9*1440,0),$F$9)+(110-25)*$F$9)/1440))</x:f>
      </x:c>
      <x:c r="B110" s="6" t="str">
        <x:f>IF(A110="","",A110-$C$17/1440)</x:f>
      </x:c>
      <x:c r="C110" s="6" t="str">
        <x:f>IF(A110="","",A110+($B$17+$D$17)/1440)</x:f>
      </x:c>
      <x:c r="D110" s="18" t="str">
        <x:f>IF(A110="","",IF($B$12=0,0,MAX(0,MIN(ROUND($C110*1440,0),ROUND($H$12*1440,0))-MAX(ROUND($B110*1440,0),ROUND($G$12*1440,0)))))</x:f>
      </x:c>
      <x:c r="E110" s="18" t="str">
        <x:f>IF(A110="","",IF($B$13=0,0,MAX(0,MIN(ROUND($C110*1440,0),ROUND($H$13*1440,0))-MAX(ROUND($B110*1440,0),ROUND($G$13*1440,0)))))</x:f>
      </x:c>
      <x:c r="F110" s="18" t="str">
        <x:f>IF(A110="","",IF($B$14=0,0,MAX(0,MIN(ROUND($C110*1440,0),ROUND($H$14*1440,0))-MAX(ROUND($B110*1440,0),ROUND($G$14*1440,0)))))</x:f>
      </x:c>
      <x:c r="G110" s="2" t="str">
        <x:f>IF(A110="","",IF(OR(ROUND(B110*1440,0)&lt;ROUND($B$9*1440,0),ROUND(C110*1440,0)&gt;ROUND($D$9*1440,0)),"時間外","時間内"))</x:f>
      </x:c>
      <x:c r="H110" s="2" t="str">
        <x:f>IF($B$20&lt;&gt;"入力OK","入力待ち",IF(A110="","",IF(G110="時間外","対象外",IF(SUM(D110:F110)&gt;0,"重複あり","候補"))))</x:f>
      </x:c>
      <x:c r="I110" s="2"/>
    </x:row>
    <x:row r="111" ht="24" customHeight="1">
      <x:c r="A111" s="6" t="str">
        <x:f>IF($B$20&lt;&gt;"入力OK","",IF((CEILING(ROUND($B$9*1440,0),$F$9)+(111-25)*$F$9)&gt;=ROUND($D$9*1440,0),"",(CEILING(ROUND($B$9*1440,0),$F$9)+(111-25)*$F$9)/1440))</x:f>
      </x:c>
      <x:c r="B111" s="6" t="str">
        <x:f>IF(A111="","",A111-$C$17/1440)</x:f>
      </x:c>
      <x:c r="C111" s="6" t="str">
        <x:f>IF(A111="","",A111+($B$17+$D$17)/1440)</x:f>
      </x:c>
      <x:c r="D111" s="18" t="str">
        <x:f>IF(A111="","",IF($B$12=0,0,MAX(0,MIN(ROUND($C111*1440,0),ROUND($H$12*1440,0))-MAX(ROUND($B111*1440,0),ROUND($G$12*1440,0)))))</x:f>
      </x:c>
      <x:c r="E111" s="18" t="str">
        <x:f>IF(A111="","",IF($B$13=0,0,MAX(0,MIN(ROUND($C111*1440,0),ROUND($H$13*1440,0))-MAX(ROUND($B111*1440,0),ROUND($G$13*1440,0)))))</x:f>
      </x:c>
      <x:c r="F111" s="18" t="str">
        <x:f>IF(A111="","",IF($B$14=0,0,MAX(0,MIN(ROUND($C111*1440,0),ROUND($H$14*1440,0))-MAX(ROUND($B111*1440,0),ROUND($G$14*1440,0)))))</x:f>
      </x:c>
      <x:c r="G111" s="2" t="str">
        <x:f>IF(A111="","",IF(OR(ROUND(B111*1440,0)&lt;ROUND($B$9*1440,0),ROUND(C111*1440,0)&gt;ROUND($D$9*1440,0)),"時間外","時間内"))</x:f>
      </x:c>
      <x:c r="H111" s="2" t="str">
        <x:f>IF($B$20&lt;&gt;"入力OK","入力待ち",IF(A111="","",IF(G111="時間外","対象外",IF(SUM(D111:F111)&gt;0,"重複あり","候補"))))</x:f>
      </x:c>
      <x:c r="I111" s="2"/>
    </x:row>
    <x:row r="112" ht="24" customHeight="1">
      <x:c r="A112" s="6" t="str">
        <x:f>IF($B$20&lt;&gt;"入力OK","",IF((CEILING(ROUND($B$9*1440,0),$F$9)+(112-25)*$F$9)&gt;=ROUND($D$9*1440,0),"",(CEILING(ROUND($B$9*1440,0),$F$9)+(112-25)*$F$9)/1440))</x:f>
      </x:c>
      <x:c r="B112" s="6" t="str">
        <x:f>IF(A112="","",A112-$C$17/1440)</x:f>
      </x:c>
      <x:c r="C112" s="6" t="str">
        <x:f>IF(A112="","",A112+($B$17+$D$17)/1440)</x:f>
      </x:c>
      <x:c r="D112" s="18" t="str">
        <x:f>IF(A112="","",IF($B$12=0,0,MAX(0,MIN(ROUND($C112*1440,0),ROUND($H$12*1440,0))-MAX(ROUND($B112*1440,0),ROUND($G$12*1440,0)))))</x:f>
      </x:c>
      <x:c r="E112" s="18" t="str">
        <x:f>IF(A112="","",IF($B$13=0,0,MAX(0,MIN(ROUND($C112*1440,0),ROUND($H$13*1440,0))-MAX(ROUND($B112*1440,0),ROUND($G$13*1440,0)))))</x:f>
      </x:c>
      <x:c r="F112" s="18" t="str">
        <x:f>IF(A112="","",IF($B$14=0,0,MAX(0,MIN(ROUND($C112*1440,0),ROUND($H$14*1440,0))-MAX(ROUND($B112*1440,0),ROUND($G$14*1440,0)))))</x:f>
      </x:c>
      <x:c r="G112" s="2" t="str">
        <x:f>IF(A112="","",IF(OR(ROUND(B112*1440,0)&lt;ROUND($B$9*1440,0),ROUND(C112*1440,0)&gt;ROUND($D$9*1440,0)),"時間外","時間内"))</x:f>
      </x:c>
      <x:c r="H112" s="2" t="str">
        <x:f>IF($B$20&lt;&gt;"入力OK","入力待ち",IF(A112="","",IF(G112="時間外","対象外",IF(SUM(D112:F112)&gt;0,"重複あり","候補"))))</x:f>
      </x:c>
      <x:c r="I112" s="2"/>
    </x:row>
    <x:row r="113" ht="24" customHeight="1">
      <x:c r="A113" s="6" t="str">
        <x:f>IF($B$20&lt;&gt;"入力OK","",IF((CEILING(ROUND($B$9*1440,0),$F$9)+(113-25)*$F$9)&gt;=ROUND($D$9*1440,0),"",(CEILING(ROUND($B$9*1440,0),$F$9)+(113-25)*$F$9)/1440))</x:f>
      </x:c>
      <x:c r="B113" s="6" t="str">
        <x:f>IF(A113="","",A113-$C$17/1440)</x:f>
      </x:c>
      <x:c r="C113" s="6" t="str">
        <x:f>IF(A113="","",A113+($B$17+$D$17)/1440)</x:f>
      </x:c>
      <x:c r="D113" s="18" t="str">
        <x:f>IF(A113="","",IF($B$12=0,0,MAX(0,MIN(ROUND($C113*1440,0),ROUND($H$12*1440,0))-MAX(ROUND($B113*1440,0),ROUND($G$12*1440,0)))))</x:f>
      </x:c>
      <x:c r="E113" s="18" t="str">
        <x:f>IF(A113="","",IF($B$13=0,0,MAX(0,MIN(ROUND($C113*1440,0),ROUND($H$13*1440,0))-MAX(ROUND($B113*1440,0),ROUND($G$13*1440,0)))))</x:f>
      </x:c>
      <x:c r="F113" s="18" t="str">
        <x:f>IF(A113="","",IF($B$14=0,0,MAX(0,MIN(ROUND($C113*1440,0),ROUND($H$14*1440,0))-MAX(ROUND($B113*1440,0),ROUND($G$14*1440,0)))))</x:f>
      </x:c>
      <x:c r="G113" s="2" t="str">
        <x:f>IF(A113="","",IF(OR(ROUND(B113*1440,0)&lt;ROUND($B$9*1440,0),ROUND(C113*1440,0)&gt;ROUND($D$9*1440,0)),"時間外","時間内"))</x:f>
      </x:c>
      <x:c r="H113" s="2" t="str">
        <x:f>IF($B$20&lt;&gt;"入力OK","入力待ち",IF(A113="","",IF(G113="時間外","対象外",IF(SUM(D113:F113)&gt;0,"重複あり","候補"))))</x:f>
      </x:c>
      <x:c r="I113" s="2"/>
    </x:row>
    <x:row r="114" ht="24" customHeight="1">
      <x:c r="A114" s="6" t="str">
        <x:f>IF($B$20&lt;&gt;"入力OK","",IF((CEILING(ROUND($B$9*1440,0),$F$9)+(114-25)*$F$9)&gt;=ROUND($D$9*1440,0),"",(CEILING(ROUND($B$9*1440,0),$F$9)+(114-25)*$F$9)/1440))</x:f>
      </x:c>
      <x:c r="B114" s="6" t="str">
        <x:f>IF(A114="","",A114-$C$17/1440)</x:f>
      </x:c>
      <x:c r="C114" s="6" t="str">
        <x:f>IF(A114="","",A114+($B$17+$D$17)/1440)</x:f>
      </x:c>
      <x:c r="D114" s="18" t="str">
        <x:f>IF(A114="","",IF($B$12=0,0,MAX(0,MIN(ROUND($C114*1440,0),ROUND($H$12*1440,0))-MAX(ROUND($B114*1440,0),ROUND($G$12*1440,0)))))</x:f>
      </x:c>
      <x:c r="E114" s="18" t="str">
        <x:f>IF(A114="","",IF($B$13=0,0,MAX(0,MIN(ROUND($C114*1440,0),ROUND($H$13*1440,0))-MAX(ROUND($B114*1440,0),ROUND($G$13*1440,0)))))</x:f>
      </x:c>
      <x:c r="F114" s="18" t="str">
        <x:f>IF(A114="","",IF($B$14=0,0,MAX(0,MIN(ROUND($C114*1440,0),ROUND($H$14*1440,0))-MAX(ROUND($B114*1440,0),ROUND($G$14*1440,0)))))</x:f>
      </x:c>
      <x:c r="G114" s="2" t="str">
        <x:f>IF(A114="","",IF(OR(ROUND(B114*1440,0)&lt;ROUND($B$9*1440,0),ROUND(C114*1440,0)&gt;ROUND($D$9*1440,0)),"時間外","時間内"))</x:f>
      </x:c>
      <x:c r="H114" s="2" t="str">
        <x:f>IF($B$20&lt;&gt;"入力OK","入力待ち",IF(A114="","",IF(G114="時間外","対象外",IF(SUM(D114:F114)&gt;0,"重複あり","候補"))))</x:f>
      </x:c>
      <x:c r="I114" s="2"/>
    </x:row>
    <x:row r="115" ht="24" customHeight="1">
      <x:c r="A115" s="6" t="str">
        <x:f>IF($B$20&lt;&gt;"入力OK","",IF((CEILING(ROUND($B$9*1440,0),$F$9)+(115-25)*$F$9)&gt;=ROUND($D$9*1440,0),"",(CEILING(ROUND($B$9*1440,0),$F$9)+(115-25)*$F$9)/1440))</x:f>
      </x:c>
      <x:c r="B115" s="6" t="str">
        <x:f>IF(A115="","",A115-$C$17/1440)</x:f>
      </x:c>
      <x:c r="C115" s="6" t="str">
        <x:f>IF(A115="","",A115+($B$17+$D$17)/1440)</x:f>
      </x:c>
      <x:c r="D115" s="18" t="str">
        <x:f>IF(A115="","",IF($B$12=0,0,MAX(0,MIN(ROUND($C115*1440,0),ROUND($H$12*1440,0))-MAX(ROUND($B115*1440,0),ROUND($G$12*1440,0)))))</x:f>
      </x:c>
      <x:c r="E115" s="18" t="str">
        <x:f>IF(A115="","",IF($B$13=0,0,MAX(0,MIN(ROUND($C115*1440,0),ROUND($H$13*1440,0))-MAX(ROUND($B115*1440,0),ROUND($G$13*1440,0)))))</x:f>
      </x:c>
      <x:c r="F115" s="18" t="str">
        <x:f>IF(A115="","",IF($B$14=0,0,MAX(0,MIN(ROUND($C115*1440,0),ROUND($H$14*1440,0))-MAX(ROUND($B115*1440,0),ROUND($G$14*1440,0)))))</x:f>
      </x:c>
      <x:c r="G115" s="2" t="str">
        <x:f>IF(A115="","",IF(OR(ROUND(B115*1440,0)&lt;ROUND($B$9*1440,0),ROUND(C115*1440,0)&gt;ROUND($D$9*1440,0)),"時間外","時間内"))</x:f>
      </x:c>
      <x:c r="H115" s="2" t="str">
        <x:f>IF($B$20&lt;&gt;"入力OK","入力待ち",IF(A115="","",IF(G115="時間外","対象外",IF(SUM(D115:F115)&gt;0,"重複あり","候補"))))</x:f>
      </x:c>
      <x:c r="I115" s="2"/>
    </x:row>
    <x:row r="116" ht="24" customHeight="1">
      <x:c r="A116" s="6" t="str">
        <x:f>IF($B$20&lt;&gt;"入力OK","",IF((CEILING(ROUND($B$9*1440,0),$F$9)+(116-25)*$F$9)&gt;=ROUND($D$9*1440,0),"",(CEILING(ROUND($B$9*1440,0),$F$9)+(116-25)*$F$9)/1440))</x:f>
      </x:c>
      <x:c r="B116" s="6" t="str">
        <x:f>IF(A116="","",A116-$C$17/1440)</x:f>
      </x:c>
      <x:c r="C116" s="6" t="str">
        <x:f>IF(A116="","",A116+($B$17+$D$17)/1440)</x:f>
      </x:c>
      <x:c r="D116" s="18" t="str">
        <x:f>IF(A116="","",IF($B$12=0,0,MAX(0,MIN(ROUND($C116*1440,0),ROUND($H$12*1440,0))-MAX(ROUND($B116*1440,0),ROUND($G$12*1440,0)))))</x:f>
      </x:c>
      <x:c r="E116" s="18" t="str">
        <x:f>IF(A116="","",IF($B$13=0,0,MAX(0,MIN(ROUND($C116*1440,0),ROUND($H$13*1440,0))-MAX(ROUND($B116*1440,0),ROUND($G$13*1440,0)))))</x:f>
      </x:c>
      <x:c r="F116" s="18" t="str">
        <x:f>IF(A116="","",IF($B$14=0,0,MAX(0,MIN(ROUND($C116*1440,0),ROUND($H$14*1440,0))-MAX(ROUND($B116*1440,0),ROUND($G$14*1440,0)))))</x:f>
      </x:c>
      <x:c r="G116" s="2" t="str">
        <x:f>IF(A116="","",IF(OR(ROUND(B116*1440,0)&lt;ROUND($B$9*1440,0),ROUND(C116*1440,0)&gt;ROUND($D$9*1440,0)),"時間外","時間内"))</x:f>
      </x:c>
      <x:c r="H116" s="2" t="str">
        <x:f>IF($B$20&lt;&gt;"入力OK","入力待ち",IF(A116="","",IF(G116="時間外","対象外",IF(SUM(D116:F116)&gt;0,"重複あり","候補"))))</x:f>
      </x:c>
      <x:c r="I116" s="2"/>
    </x:row>
    <x:row r="117" ht="24" customHeight="1">
      <x:c r="A117" s="6" t="str">
        <x:f>IF($B$20&lt;&gt;"入力OK","",IF((CEILING(ROUND($B$9*1440,0),$F$9)+(117-25)*$F$9)&gt;=ROUND($D$9*1440,0),"",(CEILING(ROUND($B$9*1440,0),$F$9)+(117-25)*$F$9)/1440))</x:f>
      </x:c>
      <x:c r="B117" s="6" t="str">
        <x:f>IF(A117="","",A117-$C$17/1440)</x:f>
      </x:c>
      <x:c r="C117" s="6" t="str">
        <x:f>IF(A117="","",A117+($B$17+$D$17)/1440)</x:f>
      </x:c>
      <x:c r="D117" s="18" t="str">
        <x:f>IF(A117="","",IF($B$12=0,0,MAX(0,MIN(ROUND($C117*1440,0),ROUND($H$12*1440,0))-MAX(ROUND($B117*1440,0),ROUND($G$12*1440,0)))))</x:f>
      </x:c>
      <x:c r="E117" s="18" t="str">
        <x:f>IF(A117="","",IF($B$13=0,0,MAX(0,MIN(ROUND($C117*1440,0),ROUND($H$13*1440,0))-MAX(ROUND($B117*1440,0),ROUND($G$13*1440,0)))))</x:f>
      </x:c>
      <x:c r="F117" s="18" t="str">
        <x:f>IF(A117="","",IF($B$14=0,0,MAX(0,MIN(ROUND($C117*1440,0),ROUND($H$14*1440,0))-MAX(ROUND($B117*1440,0),ROUND($G$14*1440,0)))))</x:f>
      </x:c>
      <x:c r="G117" s="2" t="str">
        <x:f>IF(A117="","",IF(OR(ROUND(B117*1440,0)&lt;ROUND($B$9*1440,0),ROUND(C117*1440,0)&gt;ROUND($D$9*1440,0)),"時間外","時間内"))</x:f>
      </x:c>
      <x:c r="H117" s="2" t="str">
        <x:f>IF($B$20&lt;&gt;"入力OK","入力待ち",IF(A117="","",IF(G117="時間外","対象外",IF(SUM(D117:F117)&gt;0,"重複あり","候補"))))</x:f>
      </x:c>
      <x:c r="I117" s="2"/>
    </x:row>
    <x:row r="118" ht="24" customHeight="1">
      <x:c r="A118" s="6" t="str">
        <x:f>IF($B$20&lt;&gt;"入力OK","",IF((CEILING(ROUND($B$9*1440,0),$F$9)+(118-25)*$F$9)&gt;=ROUND($D$9*1440,0),"",(CEILING(ROUND($B$9*1440,0),$F$9)+(118-25)*$F$9)/1440))</x:f>
      </x:c>
      <x:c r="B118" s="6" t="str">
        <x:f>IF(A118="","",A118-$C$17/1440)</x:f>
      </x:c>
      <x:c r="C118" s="6" t="str">
        <x:f>IF(A118="","",A118+($B$17+$D$17)/1440)</x:f>
      </x:c>
      <x:c r="D118" s="18" t="str">
        <x:f>IF(A118="","",IF($B$12=0,0,MAX(0,MIN(ROUND($C118*1440,0),ROUND($H$12*1440,0))-MAX(ROUND($B118*1440,0),ROUND($G$12*1440,0)))))</x:f>
      </x:c>
      <x:c r="E118" s="18" t="str">
        <x:f>IF(A118="","",IF($B$13=0,0,MAX(0,MIN(ROUND($C118*1440,0),ROUND($H$13*1440,0))-MAX(ROUND($B118*1440,0),ROUND($G$13*1440,0)))))</x:f>
      </x:c>
      <x:c r="F118" s="18" t="str">
        <x:f>IF(A118="","",IF($B$14=0,0,MAX(0,MIN(ROUND($C118*1440,0),ROUND($H$14*1440,0))-MAX(ROUND($B118*1440,0),ROUND($G$14*1440,0)))))</x:f>
      </x:c>
      <x:c r="G118" s="2" t="str">
        <x:f>IF(A118="","",IF(OR(ROUND(B118*1440,0)&lt;ROUND($B$9*1440,0),ROUND(C118*1440,0)&gt;ROUND($D$9*1440,0)),"時間外","時間内"))</x:f>
      </x:c>
      <x:c r="H118" s="2" t="str">
        <x:f>IF($B$20&lt;&gt;"入力OK","入力待ち",IF(A118="","",IF(G118="時間外","対象外",IF(SUM(D118:F118)&gt;0,"重複あり","候補"))))</x:f>
      </x:c>
      <x:c r="I118" s="2"/>
    </x:row>
    <x:row r="119" ht="24" customHeight="1">
      <x:c r="A119" s="6" t="str">
        <x:f>IF($B$20&lt;&gt;"入力OK","",IF((CEILING(ROUND($B$9*1440,0),$F$9)+(119-25)*$F$9)&gt;=ROUND($D$9*1440,0),"",(CEILING(ROUND($B$9*1440,0),$F$9)+(119-25)*$F$9)/1440))</x:f>
      </x:c>
      <x:c r="B119" s="6" t="str">
        <x:f>IF(A119="","",A119-$C$17/1440)</x:f>
      </x:c>
      <x:c r="C119" s="6" t="str">
        <x:f>IF(A119="","",A119+($B$17+$D$17)/1440)</x:f>
      </x:c>
      <x:c r="D119" s="18" t="str">
        <x:f>IF(A119="","",IF($B$12=0,0,MAX(0,MIN(ROUND($C119*1440,0),ROUND($H$12*1440,0))-MAX(ROUND($B119*1440,0),ROUND($G$12*1440,0)))))</x:f>
      </x:c>
      <x:c r="E119" s="18" t="str">
        <x:f>IF(A119="","",IF($B$13=0,0,MAX(0,MIN(ROUND($C119*1440,0),ROUND($H$13*1440,0))-MAX(ROUND($B119*1440,0),ROUND($G$13*1440,0)))))</x:f>
      </x:c>
      <x:c r="F119" s="18" t="str">
        <x:f>IF(A119="","",IF($B$14=0,0,MAX(0,MIN(ROUND($C119*1440,0),ROUND($H$14*1440,0))-MAX(ROUND($B119*1440,0),ROUND($G$14*1440,0)))))</x:f>
      </x:c>
      <x:c r="G119" s="2" t="str">
        <x:f>IF(A119="","",IF(OR(ROUND(B119*1440,0)&lt;ROUND($B$9*1440,0),ROUND(C119*1440,0)&gt;ROUND($D$9*1440,0)),"時間外","時間内"))</x:f>
      </x:c>
      <x:c r="H119" s="2" t="str">
        <x:f>IF($B$20&lt;&gt;"入力OK","入力待ち",IF(A119="","",IF(G119="時間外","対象外",IF(SUM(D119:F119)&gt;0,"重複あり","候補"))))</x:f>
      </x:c>
      <x:c r="I119" s="2"/>
    </x:row>
    <x:row r="120" ht="24" customHeight="1">
      <x:c r="A120" s="6" t="str">
        <x:f>IF($B$20&lt;&gt;"入力OK","",IF((CEILING(ROUND($B$9*1440,0),$F$9)+(120-25)*$F$9)&gt;=ROUND($D$9*1440,0),"",(CEILING(ROUND($B$9*1440,0),$F$9)+(120-25)*$F$9)/1440))</x:f>
      </x:c>
      <x:c r="B120" s="6" t="str">
        <x:f>IF(A120="","",A120-$C$17/1440)</x:f>
      </x:c>
      <x:c r="C120" s="6" t="str">
        <x:f>IF(A120="","",A120+($B$17+$D$17)/1440)</x:f>
      </x:c>
      <x:c r="D120" s="18" t="str">
        <x:f>IF(A120="","",IF($B$12=0,0,MAX(0,MIN(ROUND($C120*1440,0),ROUND($H$12*1440,0))-MAX(ROUND($B120*1440,0),ROUND($G$12*1440,0)))))</x:f>
      </x:c>
      <x:c r="E120" s="18" t="str">
        <x:f>IF(A120="","",IF($B$13=0,0,MAX(0,MIN(ROUND($C120*1440,0),ROUND($H$13*1440,0))-MAX(ROUND($B120*1440,0),ROUND($G$13*1440,0)))))</x:f>
      </x:c>
      <x:c r="F120" s="18" t="str">
        <x:f>IF(A120="","",IF($B$14=0,0,MAX(0,MIN(ROUND($C120*1440,0),ROUND($H$14*1440,0))-MAX(ROUND($B120*1440,0),ROUND($G$14*1440,0)))))</x:f>
      </x:c>
      <x:c r="G120" s="2" t="str">
        <x:f>IF(A120="","",IF(OR(ROUND(B120*1440,0)&lt;ROUND($B$9*1440,0),ROUND(C120*1440,0)&gt;ROUND($D$9*1440,0)),"時間外","時間内"))</x:f>
      </x:c>
      <x:c r="H120" s="2" t="str">
        <x:f>IF($B$20&lt;&gt;"入力OK","入力待ち",IF(A120="","",IF(G120="時間外","対象外",IF(SUM(D120:F120)&gt;0,"重複あり","候補"))))</x:f>
      </x:c>
      <x:c r="I120" s="2"/>
    </x:row>
    <x:row r="121" ht="24" customHeight="1">
      <x:c r="A121" s="6" t="str">
        <x:f>IF($B$20&lt;&gt;"入力OK","",IF((CEILING(ROUND($B$9*1440,0),$F$9)+(121-25)*$F$9)&gt;=ROUND($D$9*1440,0),"",(CEILING(ROUND($B$9*1440,0),$F$9)+(121-25)*$F$9)/1440))</x:f>
      </x:c>
      <x:c r="B121" s="6" t="str">
        <x:f>IF(A121="","",A121-$C$17/1440)</x:f>
      </x:c>
      <x:c r="C121" s="6" t="str">
        <x:f>IF(A121="","",A121+($B$17+$D$17)/1440)</x:f>
      </x:c>
      <x:c r="D121" s="18" t="str">
        <x:f>IF(A121="","",IF($B$12=0,0,MAX(0,MIN(ROUND($C121*1440,0),ROUND($H$12*1440,0))-MAX(ROUND($B121*1440,0),ROUND($G$12*1440,0)))))</x:f>
      </x:c>
      <x:c r="E121" s="18" t="str">
        <x:f>IF(A121="","",IF($B$13=0,0,MAX(0,MIN(ROUND($C121*1440,0),ROUND($H$13*1440,0))-MAX(ROUND($B121*1440,0),ROUND($G$13*1440,0)))))</x:f>
      </x:c>
      <x:c r="F121" s="18" t="str">
        <x:f>IF(A121="","",IF($B$14=0,0,MAX(0,MIN(ROUND($C121*1440,0),ROUND($H$14*1440,0))-MAX(ROUND($B121*1440,0),ROUND($G$14*1440,0)))))</x:f>
      </x:c>
      <x:c r="G121" s="2" t="str">
        <x:f>IF(A121="","",IF(OR(ROUND(B121*1440,0)&lt;ROUND($B$9*1440,0),ROUND(C121*1440,0)&gt;ROUND($D$9*1440,0)),"時間外","時間内"))</x:f>
      </x:c>
      <x:c r="H121" s="2" t="str">
        <x:f>IF($B$20&lt;&gt;"入力OK","入力待ち",IF(A121="","",IF(G121="時間外","対象外",IF(SUM(D121:F121)&gt;0,"重複あり","候補"))))</x:f>
      </x:c>
      <x:c r="I121" s="2"/>
    </x:row>
    <x:row r="122" ht="24" customHeight="1">
      <x:c r="A122" s="6" t="str">
        <x:f>IF($B$20&lt;&gt;"入力OK","",IF((CEILING(ROUND($B$9*1440,0),$F$9)+(122-25)*$F$9)&gt;=ROUND($D$9*1440,0),"",(CEILING(ROUND($B$9*1440,0),$F$9)+(122-25)*$F$9)/1440))</x:f>
      </x:c>
      <x:c r="B122" s="6" t="str">
        <x:f>IF(A122="","",A122-$C$17/1440)</x:f>
      </x:c>
      <x:c r="C122" s="6" t="str">
        <x:f>IF(A122="","",A122+($B$17+$D$17)/1440)</x:f>
      </x:c>
      <x:c r="D122" s="18" t="str">
        <x:f>IF(A122="","",IF($B$12=0,0,MAX(0,MIN(ROUND($C122*1440,0),ROUND($H$12*1440,0))-MAX(ROUND($B122*1440,0),ROUND($G$12*1440,0)))))</x:f>
      </x:c>
      <x:c r="E122" s="18" t="str">
        <x:f>IF(A122="","",IF($B$13=0,0,MAX(0,MIN(ROUND($C122*1440,0),ROUND($H$13*1440,0))-MAX(ROUND($B122*1440,0),ROUND($G$13*1440,0)))))</x:f>
      </x:c>
      <x:c r="F122" s="18" t="str">
        <x:f>IF(A122="","",IF($B$14=0,0,MAX(0,MIN(ROUND($C122*1440,0),ROUND($H$14*1440,0))-MAX(ROUND($B122*1440,0),ROUND($G$14*1440,0)))))</x:f>
      </x:c>
      <x:c r="G122" s="2" t="str">
        <x:f>IF(A122="","",IF(OR(ROUND(B122*1440,0)&lt;ROUND($B$9*1440,0),ROUND(C122*1440,0)&gt;ROUND($D$9*1440,0)),"時間外","時間内"))</x:f>
      </x:c>
      <x:c r="H122" s="2" t="str">
        <x:f>IF($B$20&lt;&gt;"入力OK","入力待ち",IF(A122="","",IF(G122="時間外","対象外",IF(SUM(D122:F122)&gt;0,"重複あり","候補"))))</x:f>
      </x:c>
      <x:c r="I122" s="2"/>
    </x:row>
    <x:row r="123" ht="24" customHeight="1">
      <x:c r="A123" s="6" t="str">
        <x:f>IF($B$20&lt;&gt;"入力OK","",IF((CEILING(ROUND($B$9*1440,0),$F$9)+(123-25)*$F$9)&gt;=ROUND($D$9*1440,0),"",(CEILING(ROUND($B$9*1440,0),$F$9)+(123-25)*$F$9)/1440))</x:f>
      </x:c>
      <x:c r="B123" s="6" t="str">
        <x:f>IF(A123="","",A123-$C$17/1440)</x:f>
      </x:c>
      <x:c r="C123" s="6" t="str">
        <x:f>IF(A123="","",A123+($B$17+$D$17)/1440)</x:f>
      </x:c>
      <x:c r="D123" s="18" t="str">
        <x:f>IF(A123="","",IF($B$12=0,0,MAX(0,MIN(ROUND($C123*1440,0),ROUND($H$12*1440,0))-MAX(ROUND($B123*1440,0),ROUND($G$12*1440,0)))))</x:f>
      </x:c>
      <x:c r="E123" s="18" t="str">
        <x:f>IF(A123="","",IF($B$13=0,0,MAX(0,MIN(ROUND($C123*1440,0),ROUND($H$13*1440,0))-MAX(ROUND($B123*1440,0),ROUND($G$13*1440,0)))))</x:f>
      </x:c>
      <x:c r="F123" s="18" t="str">
        <x:f>IF(A123="","",IF($B$14=0,0,MAX(0,MIN(ROUND($C123*1440,0),ROUND($H$14*1440,0))-MAX(ROUND($B123*1440,0),ROUND($G$14*1440,0)))))</x:f>
      </x:c>
      <x:c r="G123" s="2" t="str">
        <x:f>IF(A123="","",IF(OR(ROUND(B123*1440,0)&lt;ROUND($B$9*1440,0),ROUND(C123*1440,0)&gt;ROUND($D$9*1440,0)),"時間外","時間内"))</x:f>
      </x:c>
      <x:c r="H123" s="2" t="str">
        <x:f>IF($B$20&lt;&gt;"入力OK","入力待ち",IF(A123="","",IF(G123="時間外","対象外",IF(SUM(D123:F123)&gt;0,"重複あり","候補"))))</x:f>
      </x:c>
      <x:c r="I123" s="2"/>
    </x:row>
    <x:row r="124" ht="24" customHeight="1">
      <x:c r="A124" s="6" t="str">
        <x:f>IF($B$20&lt;&gt;"入力OK","",IF((CEILING(ROUND($B$9*1440,0),$F$9)+(124-25)*$F$9)&gt;=ROUND($D$9*1440,0),"",(CEILING(ROUND($B$9*1440,0),$F$9)+(124-25)*$F$9)/1440))</x:f>
      </x:c>
      <x:c r="B124" s="6" t="str">
        <x:f>IF(A124="","",A124-$C$17/1440)</x:f>
      </x:c>
      <x:c r="C124" s="6" t="str">
        <x:f>IF(A124="","",A124+($B$17+$D$17)/1440)</x:f>
      </x:c>
      <x:c r="D124" s="18" t="str">
        <x:f>IF(A124="","",IF($B$12=0,0,MAX(0,MIN(ROUND($C124*1440,0),ROUND($H$12*1440,0))-MAX(ROUND($B124*1440,0),ROUND($G$12*1440,0)))))</x:f>
      </x:c>
      <x:c r="E124" s="18" t="str">
        <x:f>IF(A124="","",IF($B$13=0,0,MAX(0,MIN(ROUND($C124*1440,0),ROUND($H$13*1440,0))-MAX(ROUND($B124*1440,0),ROUND($G$13*1440,0)))))</x:f>
      </x:c>
      <x:c r="F124" s="18" t="str">
        <x:f>IF(A124="","",IF($B$14=0,0,MAX(0,MIN(ROUND($C124*1440,0),ROUND($H$14*1440,0))-MAX(ROUND($B124*1440,0),ROUND($G$14*1440,0)))))</x:f>
      </x:c>
      <x:c r="G124" s="2" t="str">
        <x:f>IF(A124="","",IF(OR(ROUND(B124*1440,0)&lt;ROUND($B$9*1440,0),ROUND(C124*1440,0)&gt;ROUND($D$9*1440,0)),"時間外","時間内"))</x:f>
      </x:c>
      <x:c r="H124" s="2" t="str">
        <x:f>IF($B$20&lt;&gt;"入力OK","入力待ち",IF(A124="","",IF(G124="時間外","対象外",IF(SUM(D124:F124)&gt;0,"重複あり","候補"))))</x:f>
      </x:c>
      <x:c r="I124" s="2"/>
    </x:row>
    <x:row r="125" ht="24" customHeight="1">
      <x:c r="A125" s="6" t="str">
        <x:f>IF($B$20&lt;&gt;"入力OK","",IF((CEILING(ROUND($B$9*1440,0),$F$9)+(125-25)*$F$9)&gt;=ROUND($D$9*1440,0),"",(CEILING(ROUND($B$9*1440,0),$F$9)+(125-25)*$F$9)/1440))</x:f>
      </x:c>
      <x:c r="B125" s="6" t="str">
        <x:f>IF(A125="","",A125-$C$17/1440)</x:f>
      </x:c>
      <x:c r="C125" s="6" t="str">
        <x:f>IF(A125="","",A125+($B$17+$D$17)/1440)</x:f>
      </x:c>
      <x:c r="D125" s="18" t="str">
        <x:f>IF(A125="","",IF($B$12=0,0,MAX(0,MIN(ROUND($C125*1440,0),ROUND($H$12*1440,0))-MAX(ROUND($B125*1440,0),ROUND($G$12*1440,0)))))</x:f>
      </x:c>
      <x:c r="E125" s="18" t="str">
        <x:f>IF(A125="","",IF($B$13=0,0,MAX(0,MIN(ROUND($C125*1440,0),ROUND($H$13*1440,0))-MAX(ROUND($B125*1440,0),ROUND($G$13*1440,0)))))</x:f>
      </x:c>
      <x:c r="F125" s="18" t="str">
        <x:f>IF(A125="","",IF($B$14=0,0,MAX(0,MIN(ROUND($C125*1440,0),ROUND($H$14*1440,0))-MAX(ROUND($B125*1440,0),ROUND($G$14*1440,0)))))</x:f>
      </x:c>
      <x:c r="G125" s="2" t="str">
        <x:f>IF(A125="","",IF(OR(ROUND(B125*1440,0)&lt;ROUND($B$9*1440,0),ROUND(C125*1440,0)&gt;ROUND($D$9*1440,0)),"時間外","時間内"))</x:f>
      </x:c>
      <x:c r="H125" s="2" t="str">
        <x:f>IF($B$20&lt;&gt;"入力OK","入力待ち",IF(A125="","",IF(G125="時間外","対象外",IF(SUM(D125:F125)&gt;0,"重複あり","候補"))))</x:f>
      </x:c>
      <x:c r="I125" s="2"/>
    </x:row>
    <x:row r="126" ht="24" customHeight="1">
      <x:c r="A126" s="6" t="str">
        <x:f>IF($B$20&lt;&gt;"入力OK","",IF((CEILING(ROUND($B$9*1440,0),$F$9)+(126-25)*$F$9)&gt;=ROUND($D$9*1440,0),"",(CEILING(ROUND($B$9*1440,0),$F$9)+(126-25)*$F$9)/1440))</x:f>
      </x:c>
      <x:c r="B126" s="6" t="str">
        <x:f>IF(A126="","",A126-$C$17/1440)</x:f>
      </x:c>
      <x:c r="C126" s="6" t="str">
        <x:f>IF(A126="","",A126+($B$17+$D$17)/1440)</x:f>
      </x:c>
      <x:c r="D126" s="18" t="str">
        <x:f>IF(A126="","",IF($B$12=0,0,MAX(0,MIN(ROUND($C126*1440,0),ROUND($H$12*1440,0))-MAX(ROUND($B126*1440,0),ROUND($G$12*1440,0)))))</x:f>
      </x:c>
      <x:c r="E126" s="18" t="str">
        <x:f>IF(A126="","",IF($B$13=0,0,MAX(0,MIN(ROUND($C126*1440,0),ROUND($H$13*1440,0))-MAX(ROUND($B126*1440,0),ROUND($G$13*1440,0)))))</x:f>
      </x:c>
      <x:c r="F126" s="18" t="str">
        <x:f>IF(A126="","",IF($B$14=0,0,MAX(0,MIN(ROUND($C126*1440,0),ROUND($H$14*1440,0))-MAX(ROUND($B126*1440,0),ROUND($G$14*1440,0)))))</x:f>
      </x:c>
      <x:c r="G126" s="2" t="str">
        <x:f>IF(A126="","",IF(OR(ROUND(B126*1440,0)&lt;ROUND($B$9*1440,0),ROUND(C126*1440,0)&gt;ROUND($D$9*1440,0)),"時間外","時間内"))</x:f>
      </x:c>
      <x:c r="H126" s="2" t="str">
        <x:f>IF($B$20&lt;&gt;"入力OK","入力待ち",IF(A126="","",IF(G126="時間外","対象外",IF(SUM(D126:F126)&gt;0,"重複あり","候補"))))</x:f>
      </x:c>
      <x:c r="I126" s="2"/>
    </x:row>
    <x:row r="127" ht="24" customHeight="1">
      <x:c r="A127" s="6" t="str">
        <x:f>IF($B$20&lt;&gt;"入力OK","",IF((CEILING(ROUND($B$9*1440,0),$F$9)+(127-25)*$F$9)&gt;=ROUND($D$9*1440,0),"",(CEILING(ROUND($B$9*1440,0),$F$9)+(127-25)*$F$9)/1440))</x:f>
      </x:c>
      <x:c r="B127" s="6" t="str">
        <x:f>IF(A127="","",A127-$C$17/1440)</x:f>
      </x:c>
      <x:c r="C127" s="6" t="str">
        <x:f>IF(A127="","",A127+($B$17+$D$17)/1440)</x:f>
      </x:c>
      <x:c r="D127" s="18" t="str">
        <x:f>IF(A127="","",IF($B$12=0,0,MAX(0,MIN(ROUND($C127*1440,0),ROUND($H$12*1440,0))-MAX(ROUND($B127*1440,0),ROUND($G$12*1440,0)))))</x:f>
      </x:c>
      <x:c r="E127" s="18" t="str">
        <x:f>IF(A127="","",IF($B$13=0,0,MAX(0,MIN(ROUND($C127*1440,0),ROUND($H$13*1440,0))-MAX(ROUND($B127*1440,0),ROUND($G$13*1440,0)))))</x:f>
      </x:c>
      <x:c r="F127" s="18" t="str">
        <x:f>IF(A127="","",IF($B$14=0,0,MAX(0,MIN(ROUND($C127*1440,0),ROUND($H$14*1440,0))-MAX(ROUND($B127*1440,0),ROUND($G$14*1440,0)))))</x:f>
      </x:c>
      <x:c r="G127" s="2" t="str">
        <x:f>IF(A127="","",IF(OR(ROUND(B127*1440,0)&lt;ROUND($B$9*1440,0),ROUND(C127*1440,0)&gt;ROUND($D$9*1440,0)),"時間外","時間内"))</x:f>
      </x:c>
      <x:c r="H127" s="2" t="str">
        <x:f>IF($B$20&lt;&gt;"入力OK","入力待ち",IF(A127="","",IF(G127="時間外","対象外",IF(SUM(D127:F127)&gt;0,"重複あり","候補"))))</x:f>
      </x:c>
      <x:c r="I127" s="2"/>
    </x:row>
    <x:row r="128" ht="24" customHeight="1">
      <x:c r="A128" s="6" t="str">
        <x:f>IF($B$20&lt;&gt;"入力OK","",IF((CEILING(ROUND($B$9*1440,0),$F$9)+(128-25)*$F$9)&gt;=ROUND($D$9*1440,0),"",(CEILING(ROUND($B$9*1440,0),$F$9)+(128-25)*$F$9)/1440))</x:f>
      </x:c>
      <x:c r="B128" s="6" t="str">
        <x:f>IF(A128="","",A128-$C$17/1440)</x:f>
      </x:c>
      <x:c r="C128" s="6" t="str">
        <x:f>IF(A128="","",A128+($B$17+$D$17)/1440)</x:f>
      </x:c>
      <x:c r="D128" s="18" t="str">
        <x:f>IF(A128="","",IF($B$12=0,0,MAX(0,MIN(ROUND($C128*1440,0),ROUND($H$12*1440,0))-MAX(ROUND($B128*1440,0),ROUND($G$12*1440,0)))))</x:f>
      </x:c>
      <x:c r="E128" s="18" t="str">
        <x:f>IF(A128="","",IF($B$13=0,0,MAX(0,MIN(ROUND($C128*1440,0),ROUND($H$13*1440,0))-MAX(ROUND($B128*1440,0),ROUND($G$13*1440,0)))))</x:f>
      </x:c>
      <x:c r="F128" s="18" t="str">
        <x:f>IF(A128="","",IF($B$14=0,0,MAX(0,MIN(ROUND($C128*1440,0),ROUND($H$14*1440,0))-MAX(ROUND($B128*1440,0),ROUND($G$14*1440,0)))))</x:f>
      </x:c>
      <x:c r="G128" s="2" t="str">
        <x:f>IF(A128="","",IF(OR(ROUND(B128*1440,0)&lt;ROUND($B$9*1440,0),ROUND(C128*1440,0)&gt;ROUND($D$9*1440,0)),"時間外","時間内"))</x:f>
      </x:c>
      <x:c r="H128" s="2" t="str">
        <x:f>IF($B$20&lt;&gt;"入力OK","入力待ち",IF(A128="","",IF(G128="時間外","対象外",IF(SUM(D128:F128)&gt;0,"重複あり","候補"))))</x:f>
      </x:c>
      <x:c r="I128" s="2"/>
    </x:row>
    <x:row r="129" ht="24" customHeight="1">
      <x:c r="A129" s="6" t="str">
        <x:f>IF($B$20&lt;&gt;"入力OK","",IF((CEILING(ROUND($B$9*1440,0),$F$9)+(129-25)*$F$9)&gt;=ROUND($D$9*1440,0),"",(CEILING(ROUND($B$9*1440,0),$F$9)+(129-25)*$F$9)/1440))</x:f>
      </x:c>
      <x:c r="B129" s="6" t="str">
        <x:f>IF(A129="","",A129-$C$17/1440)</x:f>
      </x:c>
      <x:c r="C129" s="6" t="str">
        <x:f>IF(A129="","",A129+($B$17+$D$17)/1440)</x:f>
      </x:c>
      <x:c r="D129" s="18" t="str">
        <x:f>IF(A129="","",IF($B$12=0,0,MAX(0,MIN(ROUND($C129*1440,0),ROUND($H$12*1440,0))-MAX(ROUND($B129*1440,0),ROUND($G$12*1440,0)))))</x:f>
      </x:c>
      <x:c r="E129" s="18" t="str">
        <x:f>IF(A129="","",IF($B$13=0,0,MAX(0,MIN(ROUND($C129*1440,0),ROUND($H$13*1440,0))-MAX(ROUND($B129*1440,0),ROUND($G$13*1440,0)))))</x:f>
      </x:c>
      <x:c r="F129" s="18" t="str">
        <x:f>IF(A129="","",IF($B$14=0,0,MAX(0,MIN(ROUND($C129*1440,0),ROUND($H$14*1440,0))-MAX(ROUND($B129*1440,0),ROUND($G$14*1440,0)))))</x:f>
      </x:c>
      <x:c r="G129" s="2" t="str">
        <x:f>IF(A129="","",IF(OR(ROUND(B129*1440,0)&lt;ROUND($B$9*1440,0),ROUND(C129*1440,0)&gt;ROUND($D$9*1440,0)),"時間外","時間内"))</x:f>
      </x:c>
      <x:c r="H129" s="2" t="str">
        <x:f>IF($B$20&lt;&gt;"入力OK","入力待ち",IF(A129="","",IF(G129="時間外","対象外",IF(SUM(D129:F129)&gt;0,"重複あり","候補"))))</x:f>
      </x:c>
      <x:c r="I129" s="2"/>
    </x:row>
    <x:row r="130" ht="24" customHeight="1">
      <x:c r="A130" s="6" t="str">
        <x:f>IF($B$20&lt;&gt;"入力OK","",IF((CEILING(ROUND($B$9*1440,0),$F$9)+(130-25)*$F$9)&gt;=ROUND($D$9*1440,0),"",(CEILING(ROUND($B$9*1440,0),$F$9)+(130-25)*$F$9)/1440))</x:f>
      </x:c>
      <x:c r="B130" s="6" t="str">
        <x:f>IF(A130="","",A130-$C$17/1440)</x:f>
      </x:c>
      <x:c r="C130" s="6" t="str">
        <x:f>IF(A130="","",A130+($B$17+$D$17)/1440)</x:f>
      </x:c>
      <x:c r="D130" s="18" t="str">
        <x:f>IF(A130="","",IF($B$12=0,0,MAX(0,MIN(ROUND($C130*1440,0),ROUND($H$12*1440,0))-MAX(ROUND($B130*1440,0),ROUND($G$12*1440,0)))))</x:f>
      </x:c>
      <x:c r="E130" s="18" t="str">
        <x:f>IF(A130="","",IF($B$13=0,0,MAX(0,MIN(ROUND($C130*1440,0),ROUND($H$13*1440,0))-MAX(ROUND($B130*1440,0),ROUND($G$13*1440,0)))))</x:f>
      </x:c>
      <x:c r="F130" s="18" t="str">
        <x:f>IF(A130="","",IF($B$14=0,0,MAX(0,MIN(ROUND($C130*1440,0),ROUND($H$14*1440,0))-MAX(ROUND($B130*1440,0),ROUND($G$14*1440,0)))))</x:f>
      </x:c>
      <x:c r="G130" s="2" t="str">
        <x:f>IF(A130="","",IF(OR(ROUND(B130*1440,0)&lt;ROUND($B$9*1440,0),ROUND(C130*1440,0)&gt;ROUND($D$9*1440,0)),"時間外","時間内"))</x:f>
      </x:c>
      <x:c r="H130" s="2" t="str">
        <x:f>IF($B$20&lt;&gt;"入力OK","入力待ち",IF(A130="","",IF(G130="時間外","対象外",IF(SUM(D130:F130)&gt;0,"重複あり","候補"))))</x:f>
      </x:c>
      <x:c r="I130" s="2"/>
    </x:row>
    <x:row r="131" ht="24" customHeight="1">
      <x:c r="A131" s="6" t="str">
        <x:f>IF($B$20&lt;&gt;"入力OK","",IF((CEILING(ROUND($B$9*1440,0),$F$9)+(131-25)*$F$9)&gt;=ROUND($D$9*1440,0),"",(CEILING(ROUND($B$9*1440,0),$F$9)+(131-25)*$F$9)/1440))</x:f>
      </x:c>
      <x:c r="B131" s="6" t="str">
        <x:f>IF(A131="","",A131-$C$17/1440)</x:f>
      </x:c>
      <x:c r="C131" s="6" t="str">
        <x:f>IF(A131="","",A131+($B$17+$D$17)/1440)</x:f>
      </x:c>
      <x:c r="D131" s="18" t="str">
        <x:f>IF(A131="","",IF($B$12=0,0,MAX(0,MIN(ROUND($C131*1440,0),ROUND($H$12*1440,0))-MAX(ROUND($B131*1440,0),ROUND($G$12*1440,0)))))</x:f>
      </x:c>
      <x:c r="E131" s="18" t="str">
        <x:f>IF(A131="","",IF($B$13=0,0,MAX(0,MIN(ROUND($C131*1440,0),ROUND($H$13*1440,0))-MAX(ROUND($B131*1440,0),ROUND($G$13*1440,0)))))</x:f>
      </x:c>
      <x:c r="F131" s="18" t="str">
        <x:f>IF(A131="","",IF($B$14=0,0,MAX(0,MIN(ROUND($C131*1440,0),ROUND($H$14*1440,0))-MAX(ROUND($B131*1440,0),ROUND($G$14*1440,0)))))</x:f>
      </x:c>
      <x:c r="G131" s="2" t="str">
        <x:f>IF(A131="","",IF(OR(ROUND(B131*1440,0)&lt;ROUND($B$9*1440,0),ROUND(C131*1440,0)&gt;ROUND($D$9*1440,0)),"時間外","時間内"))</x:f>
      </x:c>
      <x:c r="H131" s="2" t="str">
        <x:f>IF($B$20&lt;&gt;"入力OK","入力待ち",IF(A131="","",IF(G131="時間外","対象外",IF(SUM(D131:F131)&gt;0,"重複あり","候補"))))</x:f>
      </x:c>
      <x:c r="I131" s="2"/>
    </x:row>
    <x:row r="132" ht="24" customHeight="1">
      <x:c r="A132" s="6" t="str">
        <x:f>IF($B$20&lt;&gt;"入力OK","",IF((CEILING(ROUND($B$9*1440,0),$F$9)+(132-25)*$F$9)&gt;=ROUND($D$9*1440,0),"",(CEILING(ROUND($B$9*1440,0),$F$9)+(132-25)*$F$9)/1440))</x:f>
      </x:c>
      <x:c r="B132" s="6" t="str">
        <x:f>IF(A132="","",A132-$C$17/1440)</x:f>
      </x:c>
      <x:c r="C132" s="6" t="str">
        <x:f>IF(A132="","",A132+($B$17+$D$17)/1440)</x:f>
      </x:c>
      <x:c r="D132" s="18" t="str">
        <x:f>IF(A132="","",IF($B$12=0,0,MAX(0,MIN(ROUND($C132*1440,0),ROUND($H$12*1440,0))-MAX(ROUND($B132*1440,0),ROUND($G$12*1440,0)))))</x:f>
      </x:c>
      <x:c r="E132" s="18" t="str">
        <x:f>IF(A132="","",IF($B$13=0,0,MAX(0,MIN(ROUND($C132*1440,0),ROUND($H$13*1440,0))-MAX(ROUND($B132*1440,0),ROUND($G$13*1440,0)))))</x:f>
      </x:c>
      <x:c r="F132" s="18" t="str">
        <x:f>IF(A132="","",IF($B$14=0,0,MAX(0,MIN(ROUND($C132*1440,0),ROUND($H$14*1440,0))-MAX(ROUND($B132*1440,0),ROUND($G$14*1440,0)))))</x:f>
      </x:c>
      <x:c r="G132" s="2" t="str">
        <x:f>IF(A132="","",IF(OR(ROUND(B132*1440,0)&lt;ROUND($B$9*1440,0),ROUND(C132*1440,0)&gt;ROUND($D$9*1440,0)),"時間外","時間内"))</x:f>
      </x:c>
      <x:c r="H132" s="2" t="str">
        <x:f>IF($B$20&lt;&gt;"入力OK","入力待ち",IF(A132="","",IF(G132="時間外","対象外",IF(SUM(D132:F132)&gt;0,"重複あり","候補"))))</x:f>
      </x:c>
      <x:c r="I132" s="2"/>
    </x:row>
    <x:row r="133" ht="24" customHeight="1">
      <x:c r="A133" s="6" t="str">
        <x:f>IF($B$20&lt;&gt;"入力OK","",IF((CEILING(ROUND($B$9*1440,0),$F$9)+(133-25)*$F$9)&gt;=ROUND($D$9*1440,0),"",(CEILING(ROUND($B$9*1440,0),$F$9)+(133-25)*$F$9)/1440))</x:f>
      </x:c>
      <x:c r="B133" s="6" t="str">
        <x:f>IF(A133="","",A133-$C$17/1440)</x:f>
      </x:c>
      <x:c r="C133" s="6" t="str">
        <x:f>IF(A133="","",A133+($B$17+$D$17)/1440)</x:f>
      </x:c>
      <x:c r="D133" s="18" t="str">
        <x:f>IF(A133="","",IF($B$12=0,0,MAX(0,MIN(ROUND($C133*1440,0),ROUND($H$12*1440,0))-MAX(ROUND($B133*1440,0),ROUND($G$12*1440,0)))))</x:f>
      </x:c>
      <x:c r="E133" s="18" t="str">
        <x:f>IF(A133="","",IF($B$13=0,0,MAX(0,MIN(ROUND($C133*1440,0),ROUND($H$13*1440,0))-MAX(ROUND($B133*1440,0),ROUND($G$13*1440,0)))))</x:f>
      </x:c>
      <x:c r="F133" s="18" t="str">
        <x:f>IF(A133="","",IF($B$14=0,0,MAX(0,MIN(ROUND($C133*1440,0),ROUND($H$14*1440,0))-MAX(ROUND($B133*1440,0),ROUND($G$14*1440,0)))))</x:f>
      </x:c>
      <x:c r="G133" s="2" t="str">
        <x:f>IF(A133="","",IF(OR(ROUND(B133*1440,0)&lt;ROUND($B$9*1440,0),ROUND(C133*1440,0)&gt;ROUND($D$9*1440,0)),"時間外","時間内"))</x:f>
      </x:c>
      <x:c r="H133" s="2" t="str">
        <x:f>IF($B$20&lt;&gt;"入力OK","入力待ち",IF(A133="","",IF(G133="時間外","対象外",IF(SUM(D133:F133)&gt;0,"重複あり","候補"))))</x:f>
      </x:c>
      <x:c r="I133" s="2"/>
    </x:row>
    <x:row r="134" ht="24" customHeight="1">
      <x:c r="A134" s="6" t="str">
        <x:f>IF($B$20&lt;&gt;"入力OK","",IF((CEILING(ROUND($B$9*1440,0),$F$9)+(134-25)*$F$9)&gt;=ROUND($D$9*1440,0),"",(CEILING(ROUND($B$9*1440,0),$F$9)+(134-25)*$F$9)/1440))</x:f>
      </x:c>
      <x:c r="B134" s="6" t="str">
        <x:f>IF(A134="","",A134-$C$17/1440)</x:f>
      </x:c>
      <x:c r="C134" s="6" t="str">
        <x:f>IF(A134="","",A134+($B$17+$D$17)/1440)</x:f>
      </x:c>
      <x:c r="D134" s="18" t="str">
        <x:f>IF(A134="","",IF($B$12=0,0,MAX(0,MIN(ROUND($C134*1440,0),ROUND($H$12*1440,0))-MAX(ROUND($B134*1440,0),ROUND($G$12*1440,0)))))</x:f>
      </x:c>
      <x:c r="E134" s="18" t="str">
        <x:f>IF(A134="","",IF($B$13=0,0,MAX(0,MIN(ROUND($C134*1440,0),ROUND($H$13*1440,0))-MAX(ROUND($B134*1440,0),ROUND($G$13*1440,0)))))</x:f>
      </x:c>
      <x:c r="F134" s="18" t="str">
        <x:f>IF(A134="","",IF($B$14=0,0,MAX(0,MIN(ROUND($C134*1440,0),ROUND($H$14*1440,0))-MAX(ROUND($B134*1440,0),ROUND($G$14*1440,0)))))</x:f>
      </x:c>
      <x:c r="G134" s="2" t="str">
        <x:f>IF(A134="","",IF(OR(ROUND(B134*1440,0)&lt;ROUND($B$9*1440,0),ROUND(C134*1440,0)&gt;ROUND($D$9*1440,0)),"時間外","時間内"))</x:f>
      </x:c>
      <x:c r="H134" s="2" t="str">
        <x:f>IF($B$20&lt;&gt;"入力OK","入力待ち",IF(A134="","",IF(G134="時間外","対象外",IF(SUM(D134:F134)&gt;0,"重複あり","候補"))))</x:f>
      </x:c>
      <x:c r="I134" s="2"/>
    </x:row>
    <x:row r="135" ht="24" customHeight="1">
      <x:c r="A135" s="6" t="str">
        <x:f>IF($B$20&lt;&gt;"入力OK","",IF((CEILING(ROUND($B$9*1440,0),$F$9)+(135-25)*$F$9)&gt;=ROUND($D$9*1440,0),"",(CEILING(ROUND($B$9*1440,0),$F$9)+(135-25)*$F$9)/1440))</x:f>
      </x:c>
      <x:c r="B135" s="6" t="str">
        <x:f>IF(A135="","",A135-$C$17/1440)</x:f>
      </x:c>
      <x:c r="C135" s="6" t="str">
        <x:f>IF(A135="","",A135+($B$17+$D$17)/1440)</x:f>
      </x:c>
      <x:c r="D135" s="18" t="str">
        <x:f>IF(A135="","",IF($B$12=0,0,MAX(0,MIN(ROUND($C135*1440,0),ROUND($H$12*1440,0))-MAX(ROUND($B135*1440,0),ROUND($G$12*1440,0)))))</x:f>
      </x:c>
      <x:c r="E135" s="18" t="str">
        <x:f>IF(A135="","",IF($B$13=0,0,MAX(0,MIN(ROUND($C135*1440,0),ROUND($H$13*1440,0))-MAX(ROUND($B135*1440,0),ROUND($G$13*1440,0)))))</x:f>
      </x:c>
      <x:c r="F135" s="18" t="str">
        <x:f>IF(A135="","",IF($B$14=0,0,MAX(0,MIN(ROUND($C135*1440,0),ROUND($H$14*1440,0))-MAX(ROUND($B135*1440,0),ROUND($G$14*1440,0)))))</x:f>
      </x:c>
      <x:c r="G135" s="2" t="str">
        <x:f>IF(A135="","",IF(OR(ROUND(B135*1440,0)&lt;ROUND($B$9*1440,0),ROUND(C135*1440,0)&gt;ROUND($D$9*1440,0)),"時間外","時間内"))</x:f>
      </x:c>
      <x:c r="H135" s="2" t="str">
        <x:f>IF($B$20&lt;&gt;"入力OK","入力待ち",IF(A135="","",IF(G135="時間外","対象外",IF(SUM(D135:F135)&gt;0,"重複あり","候補"))))</x:f>
      </x:c>
      <x:c r="I135" s="2"/>
    </x:row>
    <x:row r="136" ht="24" customHeight="1">
      <x:c r="A136" s="6" t="str">
        <x:f>IF($B$20&lt;&gt;"入力OK","",IF((CEILING(ROUND($B$9*1440,0),$F$9)+(136-25)*$F$9)&gt;=ROUND($D$9*1440,0),"",(CEILING(ROUND($B$9*1440,0),$F$9)+(136-25)*$F$9)/1440))</x:f>
      </x:c>
      <x:c r="B136" s="6" t="str">
        <x:f>IF(A136="","",A136-$C$17/1440)</x:f>
      </x:c>
      <x:c r="C136" s="6" t="str">
        <x:f>IF(A136="","",A136+($B$17+$D$17)/1440)</x:f>
      </x:c>
      <x:c r="D136" s="18" t="str">
        <x:f>IF(A136="","",IF($B$12=0,0,MAX(0,MIN(ROUND($C136*1440,0),ROUND($H$12*1440,0))-MAX(ROUND($B136*1440,0),ROUND($G$12*1440,0)))))</x:f>
      </x:c>
      <x:c r="E136" s="18" t="str">
        <x:f>IF(A136="","",IF($B$13=0,0,MAX(0,MIN(ROUND($C136*1440,0),ROUND($H$13*1440,0))-MAX(ROUND($B136*1440,0),ROUND($G$13*1440,0)))))</x:f>
      </x:c>
      <x:c r="F136" s="18" t="str">
        <x:f>IF(A136="","",IF($B$14=0,0,MAX(0,MIN(ROUND($C136*1440,0),ROUND($H$14*1440,0))-MAX(ROUND($B136*1440,0),ROUND($G$14*1440,0)))))</x:f>
      </x:c>
      <x:c r="G136" s="2" t="str">
        <x:f>IF(A136="","",IF(OR(ROUND(B136*1440,0)&lt;ROUND($B$9*1440,0),ROUND(C136*1440,0)&gt;ROUND($D$9*1440,0)),"時間外","時間内"))</x:f>
      </x:c>
      <x:c r="H136" s="2" t="str">
        <x:f>IF($B$20&lt;&gt;"入力OK","入力待ち",IF(A136="","",IF(G136="時間外","対象外",IF(SUM(D136:F136)&gt;0,"重複あり","候補"))))</x:f>
      </x:c>
      <x:c r="I136" s="2"/>
    </x:row>
    <x:row r="137" ht="24" customHeight="1">
      <x:c r="A137" s="6" t="str">
        <x:f>IF($B$20&lt;&gt;"入力OK","",IF((CEILING(ROUND($B$9*1440,0),$F$9)+(137-25)*$F$9)&gt;=ROUND($D$9*1440,0),"",(CEILING(ROUND($B$9*1440,0),$F$9)+(137-25)*$F$9)/1440))</x:f>
      </x:c>
      <x:c r="B137" s="6" t="str">
        <x:f>IF(A137="","",A137-$C$17/1440)</x:f>
      </x:c>
      <x:c r="C137" s="6" t="str">
        <x:f>IF(A137="","",A137+($B$17+$D$17)/1440)</x:f>
      </x:c>
      <x:c r="D137" s="18" t="str">
        <x:f>IF(A137="","",IF($B$12=0,0,MAX(0,MIN(ROUND($C137*1440,0),ROUND($H$12*1440,0))-MAX(ROUND($B137*1440,0),ROUND($G$12*1440,0)))))</x:f>
      </x:c>
      <x:c r="E137" s="18" t="str">
        <x:f>IF(A137="","",IF($B$13=0,0,MAX(0,MIN(ROUND($C137*1440,0),ROUND($H$13*1440,0))-MAX(ROUND($B137*1440,0),ROUND($G$13*1440,0)))))</x:f>
      </x:c>
      <x:c r="F137" s="18" t="str">
        <x:f>IF(A137="","",IF($B$14=0,0,MAX(0,MIN(ROUND($C137*1440,0),ROUND($H$14*1440,0))-MAX(ROUND($B137*1440,0),ROUND($G$14*1440,0)))))</x:f>
      </x:c>
      <x:c r="G137" s="2" t="str">
        <x:f>IF(A137="","",IF(OR(ROUND(B137*1440,0)&lt;ROUND($B$9*1440,0),ROUND(C137*1440,0)&gt;ROUND($D$9*1440,0)),"時間外","時間内"))</x:f>
      </x:c>
      <x:c r="H137" s="2" t="str">
        <x:f>IF($B$20&lt;&gt;"入力OK","入力待ち",IF(A137="","",IF(G137="時間外","対象外",IF(SUM(D137:F137)&gt;0,"重複あり","候補"))))</x:f>
      </x:c>
      <x:c r="I137" s="2"/>
    </x:row>
    <x:row r="138" ht="24" customHeight="1">
      <x:c r="A138" s="6" t="str">
        <x:f>IF($B$20&lt;&gt;"入力OK","",IF((CEILING(ROUND($B$9*1440,0),$F$9)+(138-25)*$F$9)&gt;=ROUND($D$9*1440,0),"",(CEILING(ROUND($B$9*1440,0),$F$9)+(138-25)*$F$9)/1440))</x:f>
      </x:c>
      <x:c r="B138" s="6" t="str">
        <x:f>IF(A138="","",A138-$C$17/1440)</x:f>
      </x:c>
      <x:c r="C138" s="6" t="str">
        <x:f>IF(A138="","",A138+($B$17+$D$17)/1440)</x:f>
      </x:c>
      <x:c r="D138" s="18" t="str">
        <x:f>IF(A138="","",IF($B$12=0,0,MAX(0,MIN(ROUND($C138*1440,0),ROUND($H$12*1440,0))-MAX(ROUND($B138*1440,0),ROUND($G$12*1440,0)))))</x:f>
      </x:c>
      <x:c r="E138" s="18" t="str">
        <x:f>IF(A138="","",IF($B$13=0,0,MAX(0,MIN(ROUND($C138*1440,0),ROUND($H$13*1440,0))-MAX(ROUND($B138*1440,0),ROUND($G$13*1440,0)))))</x:f>
      </x:c>
      <x:c r="F138" s="18" t="str">
        <x:f>IF(A138="","",IF($B$14=0,0,MAX(0,MIN(ROUND($C138*1440,0),ROUND($H$14*1440,0))-MAX(ROUND($B138*1440,0),ROUND($G$14*1440,0)))))</x:f>
      </x:c>
      <x:c r="G138" s="2" t="str">
        <x:f>IF(A138="","",IF(OR(ROUND(B138*1440,0)&lt;ROUND($B$9*1440,0),ROUND(C138*1440,0)&gt;ROUND($D$9*1440,0)),"時間外","時間内"))</x:f>
      </x:c>
      <x:c r="H138" s="2" t="str">
        <x:f>IF($B$20&lt;&gt;"入力OK","入力待ち",IF(A138="","",IF(G138="時間外","対象外",IF(SUM(D138:F138)&gt;0,"重複あり","候補"))))</x:f>
      </x:c>
      <x:c r="I138" s="2"/>
    </x:row>
    <x:row r="139" ht="24" customHeight="1">
      <x:c r="A139" s="6" t="str">
        <x:f>IF($B$20&lt;&gt;"入力OK","",IF((CEILING(ROUND($B$9*1440,0),$F$9)+(139-25)*$F$9)&gt;=ROUND($D$9*1440,0),"",(CEILING(ROUND($B$9*1440,0),$F$9)+(139-25)*$F$9)/1440))</x:f>
      </x:c>
      <x:c r="B139" s="6" t="str">
        <x:f>IF(A139="","",A139-$C$17/1440)</x:f>
      </x:c>
      <x:c r="C139" s="6" t="str">
        <x:f>IF(A139="","",A139+($B$17+$D$17)/1440)</x:f>
      </x:c>
      <x:c r="D139" s="18" t="str">
        <x:f>IF(A139="","",IF($B$12=0,0,MAX(0,MIN(ROUND($C139*1440,0),ROUND($H$12*1440,0))-MAX(ROUND($B139*1440,0),ROUND($G$12*1440,0)))))</x:f>
      </x:c>
      <x:c r="E139" s="18" t="str">
        <x:f>IF(A139="","",IF($B$13=0,0,MAX(0,MIN(ROUND($C139*1440,0),ROUND($H$13*1440,0))-MAX(ROUND($B139*1440,0),ROUND($G$13*1440,0)))))</x:f>
      </x:c>
      <x:c r="F139" s="18" t="str">
        <x:f>IF(A139="","",IF($B$14=0,0,MAX(0,MIN(ROUND($C139*1440,0),ROUND($H$14*1440,0))-MAX(ROUND($B139*1440,0),ROUND($G$14*1440,0)))))</x:f>
      </x:c>
      <x:c r="G139" s="2" t="str">
        <x:f>IF(A139="","",IF(OR(ROUND(B139*1440,0)&lt;ROUND($B$9*1440,0),ROUND(C139*1440,0)&gt;ROUND($D$9*1440,0)),"時間外","時間内"))</x:f>
      </x:c>
      <x:c r="H139" s="2" t="str">
        <x:f>IF($B$20&lt;&gt;"入力OK","入力待ち",IF(A139="","",IF(G139="時間外","対象外",IF(SUM(D139:F139)&gt;0,"重複あり","候補"))))</x:f>
      </x:c>
      <x:c r="I139" s="2"/>
    </x:row>
    <x:row r="140" ht="24" customHeight="1">
      <x:c r="A140" s="6" t="str">
        <x:f>IF($B$20&lt;&gt;"入力OK","",IF((CEILING(ROUND($B$9*1440,0),$F$9)+(140-25)*$F$9)&gt;=ROUND($D$9*1440,0),"",(CEILING(ROUND($B$9*1440,0),$F$9)+(140-25)*$F$9)/1440))</x:f>
      </x:c>
      <x:c r="B140" s="6" t="str">
        <x:f>IF(A140="","",A140-$C$17/1440)</x:f>
      </x:c>
      <x:c r="C140" s="6" t="str">
        <x:f>IF(A140="","",A140+($B$17+$D$17)/1440)</x:f>
      </x:c>
      <x:c r="D140" s="18" t="str">
        <x:f>IF(A140="","",IF($B$12=0,0,MAX(0,MIN(ROUND($C140*1440,0),ROUND($H$12*1440,0))-MAX(ROUND($B140*1440,0),ROUND($G$12*1440,0)))))</x:f>
      </x:c>
      <x:c r="E140" s="18" t="str">
        <x:f>IF(A140="","",IF($B$13=0,0,MAX(0,MIN(ROUND($C140*1440,0),ROUND($H$13*1440,0))-MAX(ROUND($B140*1440,0),ROUND($G$13*1440,0)))))</x:f>
      </x:c>
      <x:c r="F140" s="18" t="str">
        <x:f>IF(A140="","",IF($B$14=0,0,MAX(0,MIN(ROUND($C140*1440,0),ROUND($H$14*1440,0))-MAX(ROUND($B140*1440,0),ROUND($G$14*1440,0)))))</x:f>
      </x:c>
      <x:c r="G140" s="2" t="str">
        <x:f>IF(A140="","",IF(OR(ROUND(B140*1440,0)&lt;ROUND($B$9*1440,0),ROUND(C140*1440,0)&gt;ROUND($D$9*1440,0)),"時間外","時間内"))</x:f>
      </x:c>
      <x:c r="H140" s="2" t="str">
        <x:f>IF($B$20&lt;&gt;"入力OK","入力待ち",IF(A140="","",IF(G140="時間外","対象外",IF(SUM(D140:F140)&gt;0,"重複あり","候補"))))</x:f>
      </x:c>
      <x:c r="I140" s="2"/>
    </x:row>
    <x:row r="141" ht="24" customHeight="1">
      <x:c r="A141" s="6" t="str">
        <x:f>IF($B$20&lt;&gt;"入力OK","",IF((CEILING(ROUND($B$9*1440,0),$F$9)+(141-25)*$F$9)&gt;=ROUND($D$9*1440,0),"",(CEILING(ROUND($B$9*1440,0),$F$9)+(141-25)*$F$9)/1440))</x:f>
      </x:c>
      <x:c r="B141" s="6" t="str">
        <x:f>IF(A141="","",A141-$C$17/1440)</x:f>
      </x:c>
      <x:c r="C141" s="6" t="str">
        <x:f>IF(A141="","",A141+($B$17+$D$17)/1440)</x:f>
      </x:c>
      <x:c r="D141" s="18" t="str">
        <x:f>IF(A141="","",IF($B$12=0,0,MAX(0,MIN(ROUND($C141*1440,0),ROUND($H$12*1440,0))-MAX(ROUND($B141*1440,0),ROUND($G$12*1440,0)))))</x:f>
      </x:c>
      <x:c r="E141" s="18" t="str">
        <x:f>IF(A141="","",IF($B$13=0,0,MAX(0,MIN(ROUND($C141*1440,0),ROUND($H$13*1440,0))-MAX(ROUND($B141*1440,0),ROUND($G$13*1440,0)))))</x:f>
      </x:c>
      <x:c r="F141" s="18" t="str">
        <x:f>IF(A141="","",IF($B$14=0,0,MAX(0,MIN(ROUND($C141*1440,0),ROUND($H$14*1440,0))-MAX(ROUND($B141*1440,0),ROUND($G$14*1440,0)))))</x:f>
      </x:c>
      <x:c r="G141" s="2" t="str">
        <x:f>IF(A141="","",IF(OR(ROUND(B141*1440,0)&lt;ROUND($B$9*1440,0),ROUND(C141*1440,0)&gt;ROUND($D$9*1440,0)),"時間外","時間内"))</x:f>
      </x:c>
      <x:c r="H141" s="2" t="str">
        <x:f>IF($B$20&lt;&gt;"入力OK","入力待ち",IF(A141="","",IF(G141="時間外","対象外",IF(SUM(D141:F141)&gt;0,"重複あり","候補"))))</x:f>
      </x:c>
      <x:c r="I141" s="2"/>
    </x:row>
    <x:row r="142" ht="24" customHeight="1">
      <x:c r="A142" s="6" t="str">
        <x:f>IF($B$20&lt;&gt;"入力OK","",IF((CEILING(ROUND($B$9*1440,0),$F$9)+(142-25)*$F$9)&gt;=ROUND($D$9*1440,0),"",(CEILING(ROUND($B$9*1440,0),$F$9)+(142-25)*$F$9)/1440))</x:f>
      </x:c>
      <x:c r="B142" s="6" t="str">
        <x:f>IF(A142="","",A142-$C$17/1440)</x:f>
      </x:c>
      <x:c r="C142" s="6" t="str">
        <x:f>IF(A142="","",A142+($B$17+$D$17)/1440)</x:f>
      </x:c>
      <x:c r="D142" s="18" t="str">
        <x:f>IF(A142="","",IF($B$12=0,0,MAX(0,MIN(ROUND($C142*1440,0),ROUND($H$12*1440,0))-MAX(ROUND($B142*1440,0),ROUND($G$12*1440,0)))))</x:f>
      </x:c>
      <x:c r="E142" s="18" t="str">
        <x:f>IF(A142="","",IF($B$13=0,0,MAX(0,MIN(ROUND($C142*1440,0),ROUND($H$13*1440,0))-MAX(ROUND($B142*1440,0),ROUND($G$13*1440,0)))))</x:f>
      </x:c>
      <x:c r="F142" s="18" t="str">
        <x:f>IF(A142="","",IF($B$14=0,0,MAX(0,MIN(ROUND($C142*1440,0),ROUND($H$14*1440,0))-MAX(ROUND($B142*1440,0),ROUND($G$14*1440,0)))))</x:f>
      </x:c>
      <x:c r="G142" s="2" t="str">
        <x:f>IF(A142="","",IF(OR(ROUND(B142*1440,0)&lt;ROUND($B$9*1440,0),ROUND(C142*1440,0)&gt;ROUND($D$9*1440,0)),"時間外","時間内"))</x:f>
      </x:c>
      <x:c r="H142" s="2" t="str">
        <x:f>IF($B$20&lt;&gt;"入力OK","入力待ち",IF(A142="","",IF(G142="時間外","対象外",IF(SUM(D142:F142)&gt;0,"重複あり","候補"))))</x:f>
      </x:c>
      <x:c r="I142" s="2"/>
    </x:row>
    <x:row r="143" ht="24" customHeight="1">
      <x:c r="A143" s="6" t="str">
        <x:f>IF($B$20&lt;&gt;"入力OK","",IF((CEILING(ROUND($B$9*1440,0),$F$9)+(143-25)*$F$9)&gt;=ROUND($D$9*1440,0),"",(CEILING(ROUND($B$9*1440,0),$F$9)+(143-25)*$F$9)/1440))</x:f>
      </x:c>
      <x:c r="B143" s="6" t="str">
        <x:f>IF(A143="","",A143-$C$17/1440)</x:f>
      </x:c>
      <x:c r="C143" s="6" t="str">
        <x:f>IF(A143="","",A143+($B$17+$D$17)/1440)</x:f>
      </x:c>
      <x:c r="D143" s="18" t="str">
        <x:f>IF(A143="","",IF($B$12=0,0,MAX(0,MIN(ROUND($C143*1440,0),ROUND($H$12*1440,0))-MAX(ROUND($B143*1440,0),ROUND($G$12*1440,0)))))</x:f>
      </x:c>
      <x:c r="E143" s="18" t="str">
        <x:f>IF(A143="","",IF($B$13=0,0,MAX(0,MIN(ROUND($C143*1440,0),ROUND($H$13*1440,0))-MAX(ROUND($B143*1440,0),ROUND($G$13*1440,0)))))</x:f>
      </x:c>
      <x:c r="F143" s="18" t="str">
        <x:f>IF(A143="","",IF($B$14=0,0,MAX(0,MIN(ROUND($C143*1440,0),ROUND($H$14*1440,0))-MAX(ROUND($B143*1440,0),ROUND($G$14*1440,0)))))</x:f>
      </x:c>
      <x:c r="G143" s="2" t="str">
        <x:f>IF(A143="","",IF(OR(ROUND(B143*1440,0)&lt;ROUND($B$9*1440,0),ROUND(C143*1440,0)&gt;ROUND($D$9*1440,0)),"時間外","時間内"))</x:f>
      </x:c>
      <x:c r="H143" s="2" t="str">
        <x:f>IF($B$20&lt;&gt;"入力OK","入力待ち",IF(A143="","",IF(G143="時間外","対象外",IF(SUM(D143:F143)&gt;0,"重複あり","候補"))))</x:f>
      </x:c>
      <x:c r="I143" s="2"/>
    </x:row>
    <x:row r="144" ht="24" customHeight="1">
      <x:c r="A144" s="6" t="str">
        <x:f>IF($B$20&lt;&gt;"入力OK","",IF((CEILING(ROUND($B$9*1440,0),$F$9)+(144-25)*$F$9)&gt;=ROUND($D$9*1440,0),"",(CEILING(ROUND($B$9*1440,0),$F$9)+(144-25)*$F$9)/1440))</x:f>
      </x:c>
      <x:c r="B144" s="6" t="str">
        <x:f>IF(A144="","",A144-$C$17/1440)</x:f>
      </x:c>
      <x:c r="C144" s="6" t="str">
        <x:f>IF(A144="","",A144+($B$17+$D$17)/1440)</x:f>
      </x:c>
      <x:c r="D144" s="18" t="str">
        <x:f>IF(A144="","",IF($B$12=0,0,MAX(0,MIN(ROUND($C144*1440,0),ROUND($H$12*1440,0))-MAX(ROUND($B144*1440,0),ROUND($G$12*1440,0)))))</x:f>
      </x:c>
      <x:c r="E144" s="18" t="str">
        <x:f>IF(A144="","",IF($B$13=0,0,MAX(0,MIN(ROUND($C144*1440,0),ROUND($H$13*1440,0))-MAX(ROUND($B144*1440,0),ROUND($G$13*1440,0)))))</x:f>
      </x:c>
      <x:c r="F144" s="18" t="str">
        <x:f>IF(A144="","",IF($B$14=0,0,MAX(0,MIN(ROUND($C144*1440,0),ROUND($H$14*1440,0))-MAX(ROUND($B144*1440,0),ROUND($G$14*1440,0)))))</x:f>
      </x:c>
      <x:c r="G144" s="2" t="str">
        <x:f>IF(A144="","",IF(OR(ROUND(B144*1440,0)&lt;ROUND($B$9*1440,0),ROUND(C144*1440,0)&gt;ROUND($D$9*1440,0)),"時間外","時間内"))</x:f>
      </x:c>
      <x:c r="H144" s="2" t="str">
        <x:f>IF($B$20&lt;&gt;"入力OK","入力待ち",IF(A144="","",IF(G144="時間外","対象外",IF(SUM(D144:F144)&gt;0,"重複あり","候補"))))</x:f>
      </x:c>
      <x:c r="I144" s="2"/>
    </x:row>
    <x:row r="145" ht="24" customHeight="1">
      <x:c r="A145" s="6" t="str">
        <x:f>IF($B$20&lt;&gt;"入力OK","",IF((CEILING(ROUND($B$9*1440,0),$F$9)+(145-25)*$F$9)&gt;=ROUND($D$9*1440,0),"",(CEILING(ROUND($B$9*1440,0),$F$9)+(145-25)*$F$9)/1440))</x:f>
      </x:c>
      <x:c r="B145" s="6" t="str">
        <x:f>IF(A145="","",A145-$C$17/1440)</x:f>
      </x:c>
      <x:c r="C145" s="6" t="str">
        <x:f>IF(A145="","",A145+($B$17+$D$17)/1440)</x:f>
      </x:c>
      <x:c r="D145" s="18" t="str">
        <x:f>IF(A145="","",IF($B$12=0,0,MAX(0,MIN(ROUND($C145*1440,0),ROUND($H$12*1440,0))-MAX(ROUND($B145*1440,0),ROUND($G$12*1440,0)))))</x:f>
      </x:c>
      <x:c r="E145" s="18" t="str">
        <x:f>IF(A145="","",IF($B$13=0,0,MAX(0,MIN(ROUND($C145*1440,0),ROUND($H$13*1440,0))-MAX(ROUND($B145*1440,0),ROUND($G$13*1440,0)))))</x:f>
      </x:c>
      <x:c r="F145" s="18" t="str">
        <x:f>IF(A145="","",IF($B$14=0,0,MAX(0,MIN(ROUND($C145*1440,0),ROUND($H$14*1440,0))-MAX(ROUND($B145*1440,0),ROUND($G$14*1440,0)))))</x:f>
      </x:c>
      <x:c r="G145" s="2" t="str">
        <x:f>IF(A145="","",IF(OR(ROUND(B145*1440,0)&lt;ROUND($B$9*1440,0),ROUND(C145*1440,0)&gt;ROUND($D$9*1440,0)),"時間外","時間内"))</x:f>
      </x:c>
      <x:c r="H145" s="2" t="str">
        <x:f>IF($B$20&lt;&gt;"入力OK","入力待ち",IF(A145="","",IF(G145="時間外","対象外",IF(SUM(D145:F145)&gt;0,"重複あり","候補"))))</x:f>
      </x:c>
      <x:c r="I145" s="2"/>
    </x:row>
    <x:row r="146" ht="24" customHeight="1">
      <x:c r="A146" s="6" t="str">
        <x:f>IF($B$20&lt;&gt;"入力OK","",IF((CEILING(ROUND($B$9*1440,0),$F$9)+(146-25)*$F$9)&gt;=ROUND($D$9*1440,0),"",(CEILING(ROUND($B$9*1440,0),$F$9)+(146-25)*$F$9)/1440))</x:f>
      </x:c>
      <x:c r="B146" s="6" t="str">
        <x:f>IF(A146="","",A146-$C$17/1440)</x:f>
      </x:c>
      <x:c r="C146" s="6" t="str">
        <x:f>IF(A146="","",A146+($B$17+$D$17)/1440)</x:f>
      </x:c>
      <x:c r="D146" s="18" t="str">
        <x:f>IF(A146="","",IF($B$12=0,0,MAX(0,MIN(ROUND($C146*1440,0),ROUND($H$12*1440,0))-MAX(ROUND($B146*1440,0),ROUND($G$12*1440,0)))))</x:f>
      </x:c>
      <x:c r="E146" s="18" t="str">
        <x:f>IF(A146="","",IF($B$13=0,0,MAX(0,MIN(ROUND($C146*1440,0),ROUND($H$13*1440,0))-MAX(ROUND($B146*1440,0),ROUND($G$13*1440,0)))))</x:f>
      </x:c>
      <x:c r="F146" s="18" t="str">
        <x:f>IF(A146="","",IF($B$14=0,0,MAX(0,MIN(ROUND($C146*1440,0),ROUND($H$14*1440,0))-MAX(ROUND($B146*1440,0),ROUND($G$14*1440,0)))))</x:f>
      </x:c>
      <x:c r="G146" s="2" t="str">
        <x:f>IF(A146="","",IF(OR(ROUND(B146*1440,0)&lt;ROUND($B$9*1440,0),ROUND(C146*1440,0)&gt;ROUND($D$9*1440,0)),"時間外","時間内"))</x:f>
      </x:c>
      <x:c r="H146" s="2" t="str">
        <x:f>IF($B$20&lt;&gt;"入力OK","入力待ち",IF(A146="","",IF(G146="時間外","対象外",IF(SUM(D146:F146)&gt;0,"重複あり","候補"))))</x:f>
      </x:c>
      <x:c r="I146" s="2"/>
    </x:row>
    <x:row r="147" ht="24" customHeight="1">
      <x:c r="A147" s="6" t="str">
        <x:f>IF($B$20&lt;&gt;"入力OK","",IF((CEILING(ROUND($B$9*1440,0),$F$9)+(147-25)*$F$9)&gt;=ROUND($D$9*1440,0),"",(CEILING(ROUND($B$9*1440,0),$F$9)+(147-25)*$F$9)/1440))</x:f>
      </x:c>
      <x:c r="B147" s="6" t="str">
        <x:f>IF(A147="","",A147-$C$17/1440)</x:f>
      </x:c>
      <x:c r="C147" s="6" t="str">
        <x:f>IF(A147="","",A147+($B$17+$D$17)/1440)</x:f>
      </x:c>
      <x:c r="D147" s="18" t="str">
        <x:f>IF(A147="","",IF($B$12=0,0,MAX(0,MIN(ROUND($C147*1440,0),ROUND($H$12*1440,0))-MAX(ROUND($B147*1440,0),ROUND($G$12*1440,0)))))</x:f>
      </x:c>
      <x:c r="E147" s="18" t="str">
        <x:f>IF(A147="","",IF($B$13=0,0,MAX(0,MIN(ROUND($C147*1440,0),ROUND($H$13*1440,0))-MAX(ROUND($B147*1440,0),ROUND($G$13*1440,0)))))</x:f>
      </x:c>
      <x:c r="F147" s="18" t="str">
        <x:f>IF(A147="","",IF($B$14=0,0,MAX(0,MIN(ROUND($C147*1440,0),ROUND($H$14*1440,0))-MAX(ROUND($B147*1440,0),ROUND($G$14*1440,0)))))</x:f>
      </x:c>
      <x:c r="G147" s="2" t="str">
        <x:f>IF(A147="","",IF(OR(ROUND(B147*1440,0)&lt;ROUND($B$9*1440,0),ROUND(C147*1440,0)&gt;ROUND($D$9*1440,0)),"時間外","時間内"))</x:f>
      </x:c>
      <x:c r="H147" s="2" t="str">
        <x:f>IF($B$20&lt;&gt;"入力OK","入力待ち",IF(A147="","",IF(G147="時間外","対象外",IF(SUM(D147:F147)&gt;0,"重複あり","候補"))))</x:f>
      </x:c>
      <x:c r="I147" s="2"/>
    </x:row>
    <x:row r="148" ht="24" customHeight="1">
      <x:c r="A148" s="6" t="str">
        <x:f>IF($B$20&lt;&gt;"入力OK","",IF((CEILING(ROUND($B$9*1440,0),$F$9)+(148-25)*$F$9)&gt;=ROUND($D$9*1440,0),"",(CEILING(ROUND($B$9*1440,0),$F$9)+(148-25)*$F$9)/1440))</x:f>
      </x:c>
      <x:c r="B148" s="6" t="str">
        <x:f>IF(A148="","",A148-$C$17/1440)</x:f>
      </x:c>
      <x:c r="C148" s="6" t="str">
        <x:f>IF(A148="","",A148+($B$17+$D$17)/1440)</x:f>
      </x:c>
      <x:c r="D148" s="18" t="str">
        <x:f>IF(A148="","",IF($B$12=0,0,MAX(0,MIN(ROUND($C148*1440,0),ROUND($H$12*1440,0))-MAX(ROUND($B148*1440,0),ROUND($G$12*1440,0)))))</x:f>
      </x:c>
      <x:c r="E148" s="18" t="str">
        <x:f>IF(A148="","",IF($B$13=0,0,MAX(0,MIN(ROUND($C148*1440,0),ROUND($H$13*1440,0))-MAX(ROUND($B148*1440,0),ROUND($G$13*1440,0)))))</x:f>
      </x:c>
      <x:c r="F148" s="18" t="str">
        <x:f>IF(A148="","",IF($B$14=0,0,MAX(0,MIN(ROUND($C148*1440,0),ROUND($H$14*1440,0))-MAX(ROUND($B148*1440,0),ROUND($G$14*1440,0)))))</x:f>
      </x:c>
      <x:c r="G148" s="2" t="str">
        <x:f>IF(A148="","",IF(OR(ROUND(B148*1440,0)&lt;ROUND($B$9*1440,0),ROUND(C148*1440,0)&gt;ROUND($D$9*1440,0)),"時間外","時間内"))</x:f>
      </x:c>
      <x:c r="H148" s="2" t="str">
        <x:f>IF($B$20&lt;&gt;"入力OK","入力待ち",IF(A148="","",IF(G148="時間外","対象外",IF(SUM(D148:F148)&gt;0,"重複あり","候補"))))</x:f>
      </x:c>
      <x:c r="I148" s="2"/>
    </x:row>
    <x:row r="149" ht="24" customHeight="1">
      <x:c r="A149" s="6" t="str">
        <x:f>IF($B$20&lt;&gt;"入力OK","",IF((CEILING(ROUND($B$9*1440,0),$F$9)+(149-25)*$F$9)&gt;=ROUND($D$9*1440,0),"",(CEILING(ROUND($B$9*1440,0),$F$9)+(149-25)*$F$9)/1440))</x:f>
      </x:c>
      <x:c r="B149" s="6" t="str">
        <x:f>IF(A149="","",A149-$C$17/1440)</x:f>
      </x:c>
      <x:c r="C149" s="6" t="str">
        <x:f>IF(A149="","",A149+($B$17+$D$17)/1440)</x:f>
      </x:c>
      <x:c r="D149" s="18" t="str">
        <x:f>IF(A149="","",IF($B$12=0,0,MAX(0,MIN(ROUND($C149*1440,0),ROUND($H$12*1440,0))-MAX(ROUND($B149*1440,0),ROUND($G$12*1440,0)))))</x:f>
      </x:c>
      <x:c r="E149" s="18" t="str">
        <x:f>IF(A149="","",IF($B$13=0,0,MAX(0,MIN(ROUND($C149*1440,0),ROUND($H$13*1440,0))-MAX(ROUND($B149*1440,0),ROUND($G$13*1440,0)))))</x:f>
      </x:c>
      <x:c r="F149" s="18" t="str">
        <x:f>IF(A149="","",IF($B$14=0,0,MAX(0,MIN(ROUND($C149*1440,0),ROUND($H$14*1440,0))-MAX(ROUND($B149*1440,0),ROUND($G$14*1440,0)))))</x:f>
      </x:c>
      <x:c r="G149" s="2" t="str">
        <x:f>IF(A149="","",IF(OR(ROUND(B149*1440,0)&lt;ROUND($B$9*1440,0),ROUND(C149*1440,0)&gt;ROUND($D$9*1440,0)),"時間外","時間内"))</x:f>
      </x:c>
      <x:c r="H149" s="2" t="str">
        <x:f>IF($B$20&lt;&gt;"入力OK","入力待ち",IF(A149="","",IF(G149="時間外","対象外",IF(SUM(D149:F149)&gt;0,"重複あり","候補"))))</x:f>
      </x:c>
      <x:c r="I149" s="2"/>
    </x:row>
    <x:row r="150" ht="24" customHeight="1">
      <x:c r="A150" s="6" t="str">
        <x:f>IF($B$20&lt;&gt;"入力OK","",IF((CEILING(ROUND($B$9*1440,0),$F$9)+(150-25)*$F$9)&gt;=ROUND($D$9*1440,0),"",(CEILING(ROUND($B$9*1440,0),$F$9)+(150-25)*$F$9)/1440))</x:f>
      </x:c>
      <x:c r="B150" s="6" t="str">
        <x:f>IF(A150="","",A150-$C$17/1440)</x:f>
      </x:c>
      <x:c r="C150" s="6" t="str">
        <x:f>IF(A150="","",A150+($B$17+$D$17)/1440)</x:f>
      </x:c>
      <x:c r="D150" s="18" t="str">
        <x:f>IF(A150="","",IF($B$12=0,0,MAX(0,MIN(ROUND($C150*1440,0),ROUND($H$12*1440,0))-MAX(ROUND($B150*1440,0),ROUND($G$12*1440,0)))))</x:f>
      </x:c>
      <x:c r="E150" s="18" t="str">
        <x:f>IF(A150="","",IF($B$13=0,0,MAX(0,MIN(ROUND($C150*1440,0),ROUND($H$13*1440,0))-MAX(ROUND($B150*1440,0),ROUND($G$13*1440,0)))))</x:f>
      </x:c>
      <x:c r="F150" s="18" t="str">
        <x:f>IF(A150="","",IF($B$14=0,0,MAX(0,MIN(ROUND($C150*1440,0),ROUND($H$14*1440,0))-MAX(ROUND($B150*1440,0),ROUND($G$14*1440,0)))))</x:f>
      </x:c>
      <x:c r="G150" s="2" t="str">
        <x:f>IF(A150="","",IF(OR(ROUND(B150*1440,0)&lt;ROUND($B$9*1440,0),ROUND(C150*1440,0)&gt;ROUND($D$9*1440,0)),"時間外","時間内"))</x:f>
      </x:c>
      <x:c r="H150" s="2" t="str">
        <x:f>IF($B$20&lt;&gt;"入力OK","入力待ち",IF(A150="","",IF(G150="時間外","対象外",IF(SUM(D150:F150)&gt;0,"重複あり","候補"))))</x:f>
      </x:c>
      <x:c r="I150" s="2"/>
    </x:row>
    <x:row r="151" ht="24" customHeight="1">
      <x:c r="A151" s="6" t="str">
        <x:f>IF($B$20&lt;&gt;"入力OK","",IF((CEILING(ROUND($B$9*1440,0),$F$9)+(151-25)*$F$9)&gt;=ROUND($D$9*1440,0),"",(CEILING(ROUND($B$9*1440,0),$F$9)+(151-25)*$F$9)/1440))</x:f>
      </x:c>
      <x:c r="B151" s="6" t="str">
        <x:f>IF(A151="","",A151-$C$17/1440)</x:f>
      </x:c>
      <x:c r="C151" s="6" t="str">
        <x:f>IF(A151="","",A151+($B$17+$D$17)/1440)</x:f>
      </x:c>
      <x:c r="D151" s="18" t="str">
        <x:f>IF(A151="","",IF($B$12=0,0,MAX(0,MIN(ROUND($C151*1440,0),ROUND($H$12*1440,0))-MAX(ROUND($B151*1440,0),ROUND($G$12*1440,0)))))</x:f>
      </x:c>
      <x:c r="E151" s="18" t="str">
        <x:f>IF(A151="","",IF($B$13=0,0,MAX(0,MIN(ROUND($C151*1440,0),ROUND($H$13*1440,0))-MAX(ROUND($B151*1440,0),ROUND($G$13*1440,0)))))</x:f>
      </x:c>
      <x:c r="F151" s="18" t="str">
        <x:f>IF(A151="","",IF($B$14=0,0,MAX(0,MIN(ROUND($C151*1440,0),ROUND($H$14*1440,0))-MAX(ROUND($B151*1440,0),ROUND($G$14*1440,0)))))</x:f>
      </x:c>
      <x:c r="G151" s="2" t="str">
        <x:f>IF(A151="","",IF(OR(ROUND(B151*1440,0)&lt;ROUND($B$9*1440,0),ROUND(C151*1440,0)&gt;ROUND($D$9*1440,0)),"時間外","時間内"))</x:f>
      </x:c>
      <x:c r="H151" s="2" t="str">
        <x:f>IF($B$20&lt;&gt;"入力OK","入力待ち",IF(A151="","",IF(G151="時間外","対象外",IF(SUM(D151:F151)&gt;0,"重複あり","候補"))))</x:f>
      </x:c>
      <x:c r="I151" s="2"/>
    </x:row>
    <x:row r="152" ht="24" customHeight="1">
      <x:c r="A152" s="6" t="str">
        <x:f>IF($B$20&lt;&gt;"入力OK","",IF((CEILING(ROUND($B$9*1440,0),$F$9)+(152-25)*$F$9)&gt;=ROUND($D$9*1440,0),"",(CEILING(ROUND($B$9*1440,0),$F$9)+(152-25)*$F$9)/1440))</x:f>
      </x:c>
      <x:c r="B152" s="6" t="str">
        <x:f>IF(A152="","",A152-$C$17/1440)</x:f>
      </x:c>
      <x:c r="C152" s="6" t="str">
        <x:f>IF(A152="","",A152+($B$17+$D$17)/1440)</x:f>
      </x:c>
      <x:c r="D152" s="18" t="str">
        <x:f>IF(A152="","",IF($B$12=0,0,MAX(0,MIN(ROUND($C152*1440,0),ROUND($H$12*1440,0))-MAX(ROUND($B152*1440,0),ROUND($G$12*1440,0)))))</x:f>
      </x:c>
      <x:c r="E152" s="18" t="str">
        <x:f>IF(A152="","",IF($B$13=0,0,MAX(0,MIN(ROUND($C152*1440,0),ROUND($H$13*1440,0))-MAX(ROUND($B152*1440,0),ROUND($G$13*1440,0)))))</x:f>
      </x:c>
      <x:c r="F152" s="18" t="str">
        <x:f>IF(A152="","",IF($B$14=0,0,MAX(0,MIN(ROUND($C152*1440,0),ROUND($H$14*1440,0))-MAX(ROUND($B152*1440,0),ROUND($G$14*1440,0)))))</x:f>
      </x:c>
      <x:c r="G152" s="2" t="str">
        <x:f>IF(A152="","",IF(OR(ROUND(B152*1440,0)&lt;ROUND($B$9*1440,0),ROUND(C152*1440,0)&gt;ROUND($D$9*1440,0)),"時間外","時間内"))</x:f>
      </x:c>
      <x:c r="H152" s="2" t="str">
        <x:f>IF($B$20&lt;&gt;"入力OK","入力待ち",IF(A152="","",IF(G152="時間外","対象外",IF(SUM(D152:F152)&gt;0,"重複あり","候補"))))</x:f>
      </x:c>
      <x:c r="I152" s="2"/>
    </x:row>
    <x:row r="153" ht="24" customHeight="1">
      <x:c r="A153" s="6" t="str">
        <x:f>IF($B$20&lt;&gt;"入力OK","",IF((CEILING(ROUND($B$9*1440,0),$F$9)+(153-25)*$F$9)&gt;=ROUND($D$9*1440,0),"",(CEILING(ROUND($B$9*1440,0),$F$9)+(153-25)*$F$9)/1440))</x:f>
      </x:c>
      <x:c r="B153" s="6" t="str">
        <x:f>IF(A153="","",A153-$C$17/1440)</x:f>
      </x:c>
      <x:c r="C153" s="6" t="str">
        <x:f>IF(A153="","",A153+($B$17+$D$17)/1440)</x:f>
      </x:c>
      <x:c r="D153" s="18" t="str">
        <x:f>IF(A153="","",IF($B$12=0,0,MAX(0,MIN(ROUND($C153*1440,0),ROUND($H$12*1440,0))-MAX(ROUND($B153*1440,0),ROUND($G$12*1440,0)))))</x:f>
      </x:c>
      <x:c r="E153" s="18" t="str">
        <x:f>IF(A153="","",IF($B$13=0,0,MAX(0,MIN(ROUND($C153*1440,0),ROUND($H$13*1440,0))-MAX(ROUND($B153*1440,0),ROUND($G$13*1440,0)))))</x:f>
      </x:c>
      <x:c r="F153" s="18" t="str">
        <x:f>IF(A153="","",IF($B$14=0,0,MAX(0,MIN(ROUND($C153*1440,0),ROUND($H$14*1440,0))-MAX(ROUND($B153*1440,0),ROUND($G$14*1440,0)))))</x:f>
      </x:c>
      <x:c r="G153" s="2" t="str">
        <x:f>IF(A153="","",IF(OR(ROUND(B153*1440,0)&lt;ROUND($B$9*1440,0),ROUND(C153*1440,0)&gt;ROUND($D$9*1440,0)),"時間外","時間内"))</x:f>
      </x:c>
      <x:c r="H153" s="2" t="str">
        <x:f>IF($B$20&lt;&gt;"入力OK","入力待ち",IF(A153="","",IF(G153="時間外","対象外",IF(SUM(D153:F153)&gt;0,"重複あり","候補"))))</x:f>
      </x:c>
      <x:c r="I153" s="2"/>
    </x:row>
    <x:row r="154" ht="24" customHeight="1">
      <x:c r="A154" s="6" t="str">
        <x:f>IF($B$20&lt;&gt;"入力OK","",IF((CEILING(ROUND($B$9*1440,0),$F$9)+(154-25)*$F$9)&gt;=ROUND($D$9*1440,0),"",(CEILING(ROUND($B$9*1440,0),$F$9)+(154-25)*$F$9)/1440))</x:f>
      </x:c>
      <x:c r="B154" s="6" t="str">
        <x:f>IF(A154="","",A154-$C$17/1440)</x:f>
      </x:c>
      <x:c r="C154" s="6" t="str">
        <x:f>IF(A154="","",A154+($B$17+$D$17)/1440)</x:f>
      </x:c>
      <x:c r="D154" s="18" t="str">
        <x:f>IF(A154="","",IF($B$12=0,0,MAX(0,MIN(ROUND($C154*1440,0),ROUND($H$12*1440,0))-MAX(ROUND($B154*1440,0),ROUND($G$12*1440,0)))))</x:f>
      </x:c>
      <x:c r="E154" s="18" t="str">
        <x:f>IF(A154="","",IF($B$13=0,0,MAX(0,MIN(ROUND($C154*1440,0),ROUND($H$13*1440,0))-MAX(ROUND($B154*1440,0),ROUND($G$13*1440,0)))))</x:f>
      </x:c>
      <x:c r="F154" s="18" t="str">
        <x:f>IF(A154="","",IF($B$14=0,0,MAX(0,MIN(ROUND($C154*1440,0),ROUND($H$14*1440,0))-MAX(ROUND($B154*1440,0),ROUND($G$14*1440,0)))))</x:f>
      </x:c>
      <x:c r="G154" s="2" t="str">
        <x:f>IF(A154="","",IF(OR(ROUND(B154*1440,0)&lt;ROUND($B$9*1440,0),ROUND(C154*1440,0)&gt;ROUND($D$9*1440,0)),"時間外","時間内"))</x:f>
      </x:c>
      <x:c r="H154" s="2" t="str">
        <x:f>IF($B$20&lt;&gt;"入力OK","入力待ち",IF(A154="","",IF(G154="時間外","対象外",IF(SUM(D154:F154)&gt;0,"重複あり","候補"))))</x:f>
      </x:c>
      <x:c r="I154" s="2"/>
    </x:row>
    <x:row r="155" ht="24" customHeight="1">
      <x:c r="A155" s="6" t="str">
        <x:f>IF($B$20&lt;&gt;"入力OK","",IF((CEILING(ROUND($B$9*1440,0),$F$9)+(155-25)*$F$9)&gt;=ROUND($D$9*1440,0),"",(CEILING(ROUND($B$9*1440,0),$F$9)+(155-25)*$F$9)/1440))</x:f>
      </x:c>
      <x:c r="B155" s="6" t="str">
        <x:f>IF(A155="","",A155-$C$17/1440)</x:f>
      </x:c>
      <x:c r="C155" s="6" t="str">
        <x:f>IF(A155="","",A155+($B$17+$D$17)/1440)</x:f>
      </x:c>
      <x:c r="D155" s="18" t="str">
        <x:f>IF(A155="","",IF($B$12=0,0,MAX(0,MIN(ROUND($C155*1440,0),ROUND($H$12*1440,0))-MAX(ROUND($B155*1440,0),ROUND($G$12*1440,0)))))</x:f>
      </x:c>
      <x:c r="E155" s="18" t="str">
        <x:f>IF(A155="","",IF($B$13=0,0,MAX(0,MIN(ROUND($C155*1440,0),ROUND($H$13*1440,0))-MAX(ROUND($B155*1440,0),ROUND($G$13*1440,0)))))</x:f>
      </x:c>
      <x:c r="F155" s="18" t="str">
        <x:f>IF(A155="","",IF($B$14=0,0,MAX(0,MIN(ROUND($C155*1440,0),ROUND($H$14*1440,0))-MAX(ROUND($B155*1440,0),ROUND($G$14*1440,0)))))</x:f>
      </x:c>
      <x:c r="G155" s="2" t="str">
        <x:f>IF(A155="","",IF(OR(ROUND(B155*1440,0)&lt;ROUND($B$9*1440,0),ROUND(C155*1440,0)&gt;ROUND($D$9*1440,0)),"時間外","時間内"))</x:f>
      </x:c>
      <x:c r="H155" s="2" t="str">
        <x:f>IF($B$20&lt;&gt;"入力OK","入力待ち",IF(A155="","",IF(G155="時間外","対象外",IF(SUM(D155:F155)&gt;0,"重複あり","候補"))))</x:f>
      </x:c>
      <x:c r="I155" s="2"/>
    </x:row>
    <x:row r="156" ht="24" customHeight="1">
      <x:c r="A156" s="6" t="str">
        <x:f>IF($B$20&lt;&gt;"入力OK","",IF((CEILING(ROUND($B$9*1440,0),$F$9)+(156-25)*$F$9)&gt;=ROUND($D$9*1440,0),"",(CEILING(ROUND($B$9*1440,0),$F$9)+(156-25)*$F$9)/1440))</x:f>
      </x:c>
      <x:c r="B156" s="6" t="str">
        <x:f>IF(A156="","",A156-$C$17/1440)</x:f>
      </x:c>
      <x:c r="C156" s="6" t="str">
        <x:f>IF(A156="","",A156+($B$17+$D$17)/1440)</x:f>
      </x:c>
      <x:c r="D156" s="18" t="str">
        <x:f>IF(A156="","",IF($B$12=0,0,MAX(0,MIN(ROUND($C156*1440,0),ROUND($H$12*1440,0))-MAX(ROUND($B156*1440,0),ROUND($G$12*1440,0)))))</x:f>
      </x:c>
      <x:c r="E156" s="18" t="str">
        <x:f>IF(A156="","",IF($B$13=0,0,MAX(0,MIN(ROUND($C156*1440,0),ROUND($H$13*1440,0))-MAX(ROUND($B156*1440,0),ROUND($G$13*1440,0)))))</x:f>
      </x:c>
      <x:c r="F156" s="18" t="str">
        <x:f>IF(A156="","",IF($B$14=0,0,MAX(0,MIN(ROUND($C156*1440,0),ROUND($H$14*1440,0))-MAX(ROUND($B156*1440,0),ROUND($G$14*1440,0)))))</x:f>
      </x:c>
      <x:c r="G156" s="2" t="str">
        <x:f>IF(A156="","",IF(OR(ROUND(B156*1440,0)&lt;ROUND($B$9*1440,0),ROUND(C156*1440,0)&gt;ROUND($D$9*1440,0)),"時間外","時間内"))</x:f>
      </x:c>
      <x:c r="H156" s="2" t="str">
        <x:f>IF($B$20&lt;&gt;"入力OK","入力待ち",IF(A156="","",IF(G156="時間外","対象外",IF(SUM(D156:F156)&gt;0,"重複あり","候補"))))</x:f>
      </x:c>
      <x:c r="I156" s="2"/>
    </x:row>
    <x:row r="157" ht="24" customHeight="1">
      <x:c r="A157" s="6" t="str">
        <x:f>IF($B$20&lt;&gt;"入力OK","",IF((CEILING(ROUND($B$9*1440,0),$F$9)+(157-25)*$F$9)&gt;=ROUND($D$9*1440,0),"",(CEILING(ROUND($B$9*1440,0),$F$9)+(157-25)*$F$9)/1440))</x:f>
      </x:c>
      <x:c r="B157" s="6" t="str">
        <x:f>IF(A157="","",A157-$C$17/1440)</x:f>
      </x:c>
      <x:c r="C157" s="6" t="str">
        <x:f>IF(A157="","",A157+($B$17+$D$17)/1440)</x:f>
      </x:c>
      <x:c r="D157" s="18" t="str">
        <x:f>IF(A157="","",IF($B$12=0,0,MAX(0,MIN(ROUND($C157*1440,0),ROUND($H$12*1440,0))-MAX(ROUND($B157*1440,0),ROUND($G$12*1440,0)))))</x:f>
      </x:c>
      <x:c r="E157" s="18" t="str">
        <x:f>IF(A157="","",IF($B$13=0,0,MAX(0,MIN(ROUND($C157*1440,0),ROUND($H$13*1440,0))-MAX(ROUND($B157*1440,0),ROUND($G$13*1440,0)))))</x:f>
      </x:c>
      <x:c r="F157" s="18" t="str">
        <x:f>IF(A157="","",IF($B$14=0,0,MAX(0,MIN(ROUND($C157*1440,0),ROUND($H$14*1440,0))-MAX(ROUND($B157*1440,0),ROUND($G$14*1440,0)))))</x:f>
      </x:c>
      <x:c r="G157" s="2" t="str">
        <x:f>IF(A157="","",IF(OR(ROUND(B157*1440,0)&lt;ROUND($B$9*1440,0),ROUND(C157*1440,0)&gt;ROUND($D$9*1440,0)),"時間外","時間内"))</x:f>
      </x:c>
      <x:c r="H157" s="2" t="str">
        <x:f>IF($B$20&lt;&gt;"入力OK","入力待ち",IF(A157="","",IF(G157="時間外","対象外",IF(SUM(D157:F157)&gt;0,"重複あり","候補"))))</x:f>
      </x:c>
      <x:c r="I157" s="2"/>
    </x:row>
    <x:row r="158" ht="24" customHeight="1">
      <x:c r="A158" s="6" t="str">
        <x:f>IF($B$20&lt;&gt;"入力OK","",IF((CEILING(ROUND($B$9*1440,0),$F$9)+(158-25)*$F$9)&gt;=ROUND($D$9*1440,0),"",(CEILING(ROUND($B$9*1440,0),$F$9)+(158-25)*$F$9)/1440))</x:f>
      </x:c>
      <x:c r="B158" s="6" t="str">
        <x:f>IF(A158="","",A158-$C$17/1440)</x:f>
      </x:c>
      <x:c r="C158" s="6" t="str">
        <x:f>IF(A158="","",A158+($B$17+$D$17)/1440)</x:f>
      </x:c>
      <x:c r="D158" s="18" t="str">
        <x:f>IF(A158="","",IF($B$12=0,0,MAX(0,MIN(ROUND($C158*1440,0),ROUND($H$12*1440,0))-MAX(ROUND($B158*1440,0),ROUND($G$12*1440,0)))))</x:f>
      </x:c>
      <x:c r="E158" s="18" t="str">
        <x:f>IF(A158="","",IF($B$13=0,0,MAX(0,MIN(ROUND($C158*1440,0),ROUND($H$13*1440,0))-MAX(ROUND($B158*1440,0),ROUND($G$13*1440,0)))))</x:f>
      </x:c>
      <x:c r="F158" s="18" t="str">
        <x:f>IF(A158="","",IF($B$14=0,0,MAX(0,MIN(ROUND($C158*1440,0),ROUND($H$14*1440,0))-MAX(ROUND($B158*1440,0),ROUND($G$14*1440,0)))))</x:f>
      </x:c>
      <x:c r="G158" s="2" t="str">
        <x:f>IF(A158="","",IF(OR(ROUND(B158*1440,0)&lt;ROUND($B$9*1440,0),ROUND(C158*1440,0)&gt;ROUND($D$9*1440,0)),"時間外","時間内"))</x:f>
      </x:c>
      <x:c r="H158" s="2" t="str">
        <x:f>IF($B$20&lt;&gt;"入力OK","入力待ち",IF(A158="","",IF(G158="時間外","対象外",IF(SUM(D158:F158)&gt;0,"重複あり","候補"))))</x:f>
      </x:c>
      <x:c r="I158" s="2"/>
    </x:row>
    <x:row r="159" ht="24" customHeight="1">
      <x:c r="A159" s="6" t="str">
        <x:f>IF($B$20&lt;&gt;"入力OK","",IF((CEILING(ROUND($B$9*1440,0),$F$9)+(159-25)*$F$9)&gt;=ROUND($D$9*1440,0),"",(CEILING(ROUND($B$9*1440,0),$F$9)+(159-25)*$F$9)/1440))</x:f>
      </x:c>
      <x:c r="B159" s="6" t="str">
        <x:f>IF(A159="","",A159-$C$17/1440)</x:f>
      </x:c>
      <x:c r="C159" s="6" t="str">
        <x:f>IF(A159="","",A159+($B$17+$D$17)/1440)</x:f>
      </x:c>
      <x:c r="D159" s="18" t="str">
        <x:f>IF(A159="","",IF($B$12=0,0,MAX(0,MIN(ROUND($C159*1440,0),ROUND($H$12*1440,0))-MAX(ROUND($B159*1440,0),ROUND($G$12*1440,0)))))</x:f>
      </x:c>
      <x:c r="E159" s="18" t="str">
        <x:f>IF(A159="","",IF($B$13=0,0,MAX(0,MIN(ROUND($C159*1440,0),ROUND($H$13*1440,0))-MAX(ROUND($B159*1440,0),ROUND($G$13*1440,0)))))</x:f>
      </x:c>
      <x:c r="F159" s="18" t="str">
        <x:f>IF(A159="","",IF($B$14=0,0,MAX(0,MIN(ROUND($C159*1440,0),ROUND($H$14*1440,0))-MAX(ROUND($B159*1440,0),ROUND($G$14*1440,0)))))</x:f>
      </x:c>
      <x:c r="G159" s="2" t="str">
        <x:f>IF(A159="","",IF(OR(ROUND(B159*1440,0)&lt;ROUND($B$9*1440,0),ROUND(C159*1440,0)&gt;ROUND($D$9*1440,0)),"時間外","時間内"))</x:f>
      </x:c>
      <x:c r="H159" s="2" t="str">
        <x:f>IF($B$20&lt;&gt;"入力OK","入力待ち",IF(A159="","",IF(G159="時間外","対象外",IF(SUM(D159:F159)&gt;0,"重複あり","候補"))))</x:f>
      </x:c>
      <x:c r="I159" s="2"/>
    </x:row>
    <x:row r="160" ht="24" customHeight="1">
      <x:c r="A160" s="6" t="str">
        <x:f>IF($B$20&lt;&gt;"入力OK","",IF((CEILING(ROUND($B$9*1440,0),$F$9)+(160-25)*$F$9)&gt;=ROUND($D$9*1440,0),"",(CEILING(ROUND($B$9*1440,0),$F$9)+(160-25)*$F$9)/1440))</x:f>
      </x:c>
      <x:c r="B160" s="6" t="str">
        <x:f>IF(A160="","",A160-$C$17/1440)</x:f>
      </x:c>
      <x:c r="C160" s="6" t="str">
        <x:f>IF(A160="","",A160+($B$17+$D$17)/1440)</x:f>
      </x:c>
      <x:c r="D160" s="18" t="str">
        <x:f>IF(A160="","",IF($B$12=0,0,MAX(0,MIN(ROUND($C160*1440,0),ROUND($H$12*1440,0))-MAX(ROUND($B160*1440,0),ROUND($G$12*1440,0)))))</x:f>
      </x:c>
      <x:c r="E160" s="18" t="str">
        <x:f>IF(A160="","",IF($B$13=0,0,MAX(0,MIN(ROUND($C160*1440,0),ROUND($H$13*1440,0))-MAX(ROUND($B160*1440,0),ROUND($G$13*1440,0)))))</x:f>
      </x:c>
      <x:c r="F160" s="18" t="str">
        <x:f>IF(A160="","",IF($B$14=0,0,MAX(0,MIN(ROUND($C160*1440,0),ROUND($H$14*1440,0))-MAX(ROUND($B160*1440,0),ROUND($G$14*1440,0)))))</x:f>
      </x:c>
      <x:c r="G160" s="2" t="str">
        <x:f>IF(A160="","",IF(OR(ROUND(B160*1440,0)&lt;ROUND($B$9*1440,0),ROUND(C160*1440,0)&gt;ROUND($D$9*1440,0)),"時間外","時間内"))</x:f>
      </x:c>
      <x:c r="H160" s="2" t="str">
        <x:f>IF($B$20&lt;&gt;"入力OK","入力待ち",IF(A160="","",IF(G160="時間外","対象外",IF(SUM(D160:F160)&gt;0,"重複あり","候補"))))</x:f>
      </x:c>
      <x:c r="I160" s="2"/>
    </x:row>
    <x:row r="161" ht="24" customHeight="1">
      <x:c r="A161" s="6" t="str">
        <x:f>IF($B$20&lt;&gt;"入力OK","",IF((CEILING(ROUND($B$9*1440,0),$F$9)+(161-25)*$F$9)&gt;=ROUND($D$9*1440,0),"",(CEILING(ROUND($B$9*1440,0),$F$9)+(161-25)*$F$9)/1440))</x:f>
      </x:c>
      <x:c r="B161" s="6" t="str">
        <x:f>IF(A161="","",A161-$C$17/1440)</x:f>
      </x:c>
      <x:c r="C161" s="6" t="str">
        <x:f>IF(A161="","",A161+($B$17+$D$17)/1440)</x:f>
      </x:c>
      <x:c r="D161" s="18" t="str">
        <x:f>IF(A161="","",IF($B$12=0,0,MAX(0,MIN(ROUND($C161*1440,0),ROUND($H$12*1440,0))-MAX(ROUND($B161*1440,0),ROUND($G$12*1440,0)))))</x:f>
      </x:c>
      <x:c r="E161" s="18" t="str">
        <x:f>IF(A161="","",IF($B$13=0,0,MAX(0,MIN(ROUND($C161*1440,0),ROUND($H$13*1440,0))-MAX(ROUND($B161*1440,0),ROUND($G$13*1440,0)))))</x:f>
      </x:c>
      <x:c r="F161" s="18" t="str">
        <x:f>IF(A161="","",IF($B$14=0,0,MAX(0,MIN(ROUND($C161*1440,0),ROUND($H$14*1440,0))-MAX(ROUND($B161*1440,0),ROUND($G$14*1440,0)))))</x:f>
      </x:c>
      <x:c r="G161" s="2" t="str">
        <x:f>IF(A161="","",IF(OR(ROUND(B161*1440,0)&lt;ROUND($B$9*1440,0),ROUND(C161*1440,0)&gt;ROUND($D$9*1440,0)),"時間外","時間内"))</x:f>
      </x:c>
      <x:c r="H161" s="2" t="str">
        <x:f>IF($B$20&lt;&gt;"入力OK","入力待ち",IF(A161="","",IF(G161="時間外","対象外",IF(SUM(D161:F161)&gt;0,"重複あり","候補"))))</x:f>
      </x:c>
      <x:c r="I161" s="2"/>
    </x:row>
    <x:row r="162" ht="24" customHeight="1">
      <x:c r="A162" s="6" t="str">
        <x:f>IF($B$20&lt;&gt;"入力OK","",IF((CEILING(ROUND($B$9*1440,0),$F$9)+(162-25)*$F$9)&gt;=ROUND($D$9*1440,0),"",(CEILING(ROUND($B$9*1440,0),$F$9)+(162-25)*$F$9)/1440))</x:f>
      </x:c>
      <x:c r="B162" s="6" t="str">
        <x:f>IF(A162="","",A162-$C$17/1440)</x:f>
      </x:c>
      <x:c r="C162" s="6" t="str">
        <x:f>IF(A162="","",A162+($B$17+$D$17)/1440)</x:f>
      </x:c>
      <x:c r="D162" s="18" t="str">
        <x:f>IF(A162="","",IF($B$12=0,0,MAX(0,MIN(ROUND($C162*1440,0),ROUND($H$12*1440,0))-MAX(ROUND($B162*1440,0),ROUND($G$12*1440,0)))))</x:f>
      </x:c>
      <x:c r="E162" s="18" t="str">
        <x:f>IF(A162="","",IF($B$13=0,0,MAX(0,MIN(ROUND($C162*1440,0),ROUND($H$13*1440,0))-MAX(ROUND($B162*1440,0),ROUND($G$13*1440,0)))))</x:f>
      </x:c>
      <x:c r="F162" s="18" t="str">
        <x:f>IF(A162="","",IF($B$14=0,0,MAX(0,MIN(ROUND($C162*1440,0),ROUND($H$14*1440,0))-MAX(ROUND($B162*1440,0),ROUND($G$14*1440,0)))))</x:f>
      </x:c>
      <x:c r="G162" s="2" t="str">
        <x:f>IF(A162="","",IF(OR(ROUND(B162*1440,0)&lt;ROUND($B$9*1440,0),ROUND(C162*1440,0)&gt;ROUND($D$9*1440,0)),"時間外","時間内"))</x:f>
      </x:c>
      <x:c r="H162" s="2" t="str">
        <x:f>IF($B$20&lt;&gt;"入力OK","入力待ち",IF(A162="","",IF(G162="時間外","対象外",IF(SUM(D162:F162)&gt;0,"重複あり","候補"))))</x:f>
      </x:c>
      <x:c r="I162" s="2"/>
    </x:row>
    <x:row r="163" ht="24" customHeight="1">
      <x:c r="A163" s="6" t="str">
        <x:f>IF($B$20&lt;&gt;"入力OK","",IF((CEILING(ROUND($B$9*1440,0),$F$9)+(163-25)*$F$9)&gt;=ROUND($D$9*1440,0),"",(CEILING(ROUND($B$9*1440,0),$F$9)+(163-25)*$F$9)/1440))</x:f>
      </x:c>
      <x:c r="B163" s="6" t="str">
        <x:f>IF(A163="","",A163-$C$17/1440)</x:f>
      </x:c>
      <x:c r="C163" s="6" t="str">
        <x:f>IF(A163="","",A163+($B$17+$D$17)/1440)</x:f>
      </x:c>
      <x:c r="D163" s="18" t="str">
        <x:f>IF(A163="","",IF($B$12=0,0,MAX(0,MIN(ROUND($C163*1440,0),ROUND($H$12*1440,0))-MAX(ROUND($B163*1440,0),ROUND($G$12*1440,0)))))</x:f>
      </x:c>
      <x:c r="E163" s="18" t="str">
        <x:f>IF(A163="","",IF($B$13=0,0,MAX(0,MIN(ROUND($C163*1440,0),ROUND($H$13*1440,0))-MAX(ROUND($B163*1440,0),ROUND($G$13*1440,0)))))</x:f>
      </x:c>
      <x:c r="F163" s="18" t="str">
        <x:f>IF(A163="","",IF($B$14=0,0,MAX(0,MIN(ROUND($C163*1440,0),ROUND($H$14*1440,0))-MAX(ROUND($B163*1440,0),ROUND($G$14*1440,0)))))</x:f>
      </x:c>
      <x:c r="G163" s="2" t="str">
        <x:f>IF(A163="","",IF(OR(ROUND(B163*1440,0)&lt;ROUND($B$9*1440,0),ROUND(C163*1440,0)&gt;ROUND($D$9*1440,0)),"時間外","時間内"))</x:f>
      </x:c>
      <x:c r="H163" s="2" t="str">
        <x:f>IF($B$20&lt;&gt;"入力OK","入力待ち",IF(A163="","",IF(G163="時間外","対象外",IF(SUM(D163:F163)&gt;0,"重複あり","候補"))))</x:f>
      </x:c>
      <x:c r="I163" s="2"/>
    </x:row>
    <x:row r="164" ht="24" customHeight="1">
      <x:c r="A164" s="6" t="str">
        <x:f>IF($B$20&lt;&gt;"入力OK","",IF((CEILING(ROUND($B$9*1440,0),$F$9)+(164-25)*$F$9)&gt;=ROUND($D$9*1440,0),"",(CEILING(ROUND($B$9*1440,0),$F$9)+(164-25)*$F$9)/1440))</x:f>
      </x:c>
      <x:c r="B164" s="6" t="str">
        <x:f>IF(A164="","",A164-$C$17/1440)</x:f>
      </x:c>
      <x:c r="C164" s="6" t="str">
        <x:f>IF(A164="","",A164+($B$17+$D$17)/1440)</x:f>
      </x:c>
      <x:c r="D164" s="18" t="str">
        <x:f>IF(A164="","",IF($B$12=0,0,MAX(0,MIN(ROUND($C164*1440,0),ROUND($H$12*1440,0))-MAX(ROUND($B164*1440,0),ROUND($G$12*1440,0)))))</x:f>
      </x:c>
      <x:c r="E164" s="18" t="str">
        <x:f>IF(A164="","",IF($B$13=0,0,MAX(0,MIN(ROUND($C164*1440,0),ROUND($H$13*1440,0))-MAX(ROUND($B164*1440,0),ROUND($G$13*1440,0)))))</x:f>
      </x:c>
      <x:c r="F164" s="18" t="str">
        <x:f>IF(A164="","",IF($B$14=0,0,MAX(0,MIN(ROUND($C164*1440,0),ROUND($H$14*1440,0))-MAX(ROUND($B164*1440,0),ROUND($G$14*1440,0)))))</x:f>
      </x:c>
      <x:c r="G164" s="2" t="str">
        <x:f>IF(A164="","",IF(OR(ROUND(B164*1440,0)&lt;ROUND($B$9*1440,0),ROUND(C164*1440,0)&gt;ROUND($D$9*1440,0)),"時間外","時間内"))</x:f>
      </x:c>
      <x:c r="H164" s="2" t="str">
        <x:f>IF($B$20&lt;&gt;"入力OK","入力待ち",IF(A164="","",IF(G164="時間外","対象外",IF(SUM(D164:F164)&gt;0,"重複あり","候補"))))</x:f>
      </x:c>
      <x:c r="I164" s="2"/>
    </x:row>
    <x:row r="165" ht="24" customHeight="1">
      <x:c r="A165" s="6" t="str">
        <x:f>IF($B$20&lt;&gt;"入力OK","",IF((CEILING(ROUND($B$9*1440,0),$F$9)+(165-25)*$F$9)&gt;=ROUND($D$9*1440,0),"",(CEILING(ROUND($B$9*1440,0),$F$9)+(165-25)*$F$9)/1440))</x:f>
      </x:c>
      <x:c r="B165" s="6" t="str">
        <x:f>IF(A165="","",A165-$C$17/1440)</x:f>
      </x:c>
      <x:c r="C165" s="6" t="str">
        <x:f>IF(A165="","",A165+($B$17+$D$17)/1440)</x:f>
      </x:c>
      <x:c r="D165" s="18" t="str">
        <x:f>IF(A165="","",IF($B$12=0,0,MAX(0,MIN(ROUND($C165*1440,0),ROUND($H$12*1440,0))-MAX(ROUND($B165*1440,0),ROUND($G$12*1440,0)))))</x:f>
      </x:c>
      <x:c r="E165" s="18" t="str">
        <x:f>IF(A165="","",IF($B$13=0,0,MAX(0,MIN(ROUND($C165*1440,0),ROUND($H$13*1440,0))-MAX(ROUND($B165*1440,0),ROUND($G$13*1440,0)))))</x:f>
      </x:c>
      <x:c r="F165" s="18" t="str">
        <x:f>IF(A165="","",IF($B$14=0,0,MAX(0,MIN(ROUND($C165*1440,0),ROUND($H$14*1440,0))-MAX(ROUND($B165*1440,0),ROUND($G$14*1440,0)))))</x:f>
      </x:c>
      <x:c r="G165" s="2" t="str">
        <x:f>IF(A165="","",IF(OR(ROUND(B165*1440,0)&lt;ROUND($B$9*1440,0),ROUND(C165*1440,0)&gt;ROUND($D$9*1440,0)),"時間外","時間内"))</x:f>
      </x:c>
      <x:c r="H165" s="2" t="str">
        <x:f>IF($B$20&lt;&gt;"入力OK","入力待ち",IF(A165="","",IF(G165="時間外","対象外",IF(SUM(D165:F165)&gt;0,"重複あり","候補"))))</x:f>
      </x:c>
      <x:c r="I165" s="2"/>
    </x:row>
    <x:row r="166" ht="24" customHeight="1">
      <x:c r="A166" s="6" t="str">
        <x:f>IF($B$20&lt;&gt;"入力OK","",IF((CEILING(ROUND($B$9*1440,0),$F$9)+(166-25)*$F$9)&gt;=ROUND($D$9*1440,0),"",(CEILING(ROUND($B$9*1440,0),$F$9)+(166-25)*$F$9)/1440))</x:f>
      </x:c>
      <x:c r="B166" s="6" t="str">
        <x:f>IF(A166="","",A166-$C$17/1440)</x:f>
      </x:c>
      <x:c r="C166" s="6" t="str">
        <x:f>IF(A166="","",A166+($B$17+$D$17)/1440)</x:f>
      </x:c>
      <x:c r="D166" s="18" t="str">
        <x:f>IF(A166="","",IF($B$12=0,0,MAX(0,MIN(ROUND($C166*1440,0),ROUND($H$12*1440,0))-MAX(ROUND($B166*1440,0),ROUND($G$12*1440,0)))))</x:f>
      </x:c>
      <x:c r="E166" s="18" t="str">
        <x:f>IF(A166="","",IF($B$13=0,0,MAX(0,MIN(ROUND($C166*1440,0),ROUND($H$13*1440,0))-MAX(ROUND($B166*1440,0),ROUND($G$13*1440,0)))))</x:f>
      </x:c>
      <x:c r="F166" s="18" t="str">
        <x:f>IF(A166="","",IF($B$14=0,0,MAX(0,MIN(ROUND($C166*1440,0),ROUND($H$14*1440,0))-MAX(ROUND($B166*1440,0),ROUND($G$14*1440,0)))))</x:f>
      </x:c>
      <x:c r="G166" s="2" t="str">
        <x:f>IF(A166="","",IF(OR(ROUND(B166*1440,0)&lt;ROUND($B$9*1440,0),ROUND(C166*1440,0)&gt;ROUND($D$9*1440,0)),"時間外","時間内"))</x:f>
      </x:c>
      <x:c r="H166" s="2" t="str">
        <x:f>IF($B$20&lt;&gt;"入力OK","入力待ち",IF(A166="","",IF(G166="時間外","対象外",IF(SUM(D166:F166)&gt;0,"重複あり","候補"))))</x:f>
      </x:c>
      <x:c r="I166" s="2"/>
    </x:row>
    <x:row r="167" ht="24" customHeight="1">
      <x:c r="A167" s="6" t="str">
        <x:f>IF($B$20&lt;&gt;"入力OK","",IF((CEILING(ROUND($B$9*1440,0),$F$9)+(167-25)*$F$9)&gt;=ROUND($D$9*1440,0),"",(CEILING(ROUND($B$9*1440,0),$F$9)+(167-25)*$F$9)/1440))</x:f>
      </x:c>
      <x:c r="B167" s="6" t="str">
        <x:f>IF(A167="","",A167-$C$17/1440)</x:f>
      </x:c>
      <x:c r="C167" s="6" t="str">
        <x:f>IF(A167="","",A167+($B$17+$D$17)/1440)</x:f>
      </x:c>
      <x:c r="D167" s="18" t="str">
        <x:f>IF(A167="","",IF($B$12=0,0,MAX(0,MIN(ROUND($C167*1440,0),ROUND($H$12*1440,0))-MAX(ROUND($B167*1440,0),ROUND($G$12*1440,0)))))</x:f>
      </x:c>
      <x:c r="E167" s="18" t="str">
        <x:f>IF(A167="","",IF($B$13=0,0,MAX(0,MIN(ROUND($C167*1440,0),ROUND($H$13*1440,0))-MAX(ROUND($B167*1440,0),ROUND($G$13*1440,0)))))</x:f>
      </x:c>
      <x:c r="F167" s="18" t="str">
        <x:f>IF(A167="","",IF($B$14=0,0,MAX(0,MIN(ROUND($C167*1440,0),ROUND($H$14*1440,0))-MAX(ROUND($B167*1440,0),ROUND($G$14*1440,0)))))</x:f>
      </x:c>
      <x:c r="G167" s="2" t="str">
        <x:f>IF(A167="","",IF(OR(ROUND(B167*1440,0)&lt;ROUND($B$9*1440,0),ROUND(C167*1440,0)&gt;ROUND($D$9*1440,0)),"時間外","時間内"))</x:f>
      </x:c>
      <x:c r="H167" s="2" t="str">
        <x:f>IF($B$20&lt;&gt;"入力OK","入力待ち",IF(A167="","",IF(G167="時間外","対象外",IF(SUM(D167:F167)&gt;0,"重複あり","候補"))))</x:f>
      </x:c>
      <x:c r="I167" s="2"/>
    </x:row>
    <x:row r="168" ht="24" customHeight="1">
      <x:c r="A168" s="6" t="str">
        <x:f>IF($B$20&lt;&gt;"入力OK","",IF((CEILING(ROUND($B$9*1440,0),$F$9)+(168-25)*$F$9)&gt;=ROUND($D$9*1440,0),"",(CEILING(ROUND($B$9*1440,0),$F$9)+(168-25)*$F$9)/1440))</x:f>
      </x:c>
      <x:c r="B168" s="6" t="str">
        <x:f>IF(A168="","",A168-$C$17/1440)</x:f>
      </x:c>
      <x:c r="C168" s="6" t="str">
        <x:f>IF(A168="","",A168+($B$17+$D$17)/1440)</x:f>
      </x:c>
      <x:c r="D168" s="18" t="str">
        <x:f>IF(A168="","",IF($B$12=0,0,MAX(0,MIN(ROUND($C168*1440,0),ROUND($H$12*1440,0))-MAX(ROUND($B168*1440,0),ROUND($G$12*1440,0)))))</x:f>
      </x:c>
      <x:c r="E168" s="18" t="str">
        <x:f>IF(A168="","",IF($B$13=0,0,MAX(0,MIN(ROUND($C168*1440,0),ROUND($H$13*1440,0))-MAX(ROUND($B168*1440,0),ROUND($G$13*1440,0)))))</x:f>
      </x:c>
      <x:c r="F168" s="18" t="str">
        <x:f>IF(A168="","",IF($B$14=0,0,MAX(0,MIN(ROUND($C168*1440,0),ROUND($H$14*1440,0))-MAX(ROUND($B168*1440,0),ROUND($G$14*1440,0)))))</x:f>
      </x:c>
      <x:c r="G168" s="2" t="str">
        <x:f>IF(A168="","",IF(OR(ROUND(B168*1440,0)&lt;ROUND($B$9*1440,0),ROUND(C168*1440,0)&gt;ROUND($D$9*1440,0)),"時間外","時間内"))</x:f>
      </x:c>
      <x:c r="H168" s="2" t="str">
        <x:f>IF($B$20&lt;&gt;"入力OK","入力待ち",IF(A168="","",IF(G168="時間外","対象外",IF(SUM(D168:F168)&gt;0,"重複あり","候補"))))</x:f>
      </x:c>
      <x:c r="I168" s="2"/>
    </x:row>
    <x:row r="169" ht="24" customHeight="1">
      <x:c r="A169" s="2"/>
      <x:c r="B169" s="2"/>
      <x:c r="C169" s="2"/>
      <x:c r="D169" s="2"/>
      <x:c r="E169" s="2"/>
      <x:c r="F169" s="2"/>
      <x:c r="G169" s="2"/>
      <x:c r="H169" s="2"/>
      <x:c r="I169" s="2"/>
    </x:row>
    <x:row r="170" ht="24" customHeight="1">
      <x:c r="A170" s="2"/>
      <x:c r="B170" s="2"/>
      <x:c r="C170" s="2"/>
      <x:c r="D170" s="2"/>
      <x:c r="E170" s="2"/>
      <x:c r="F170" s="2"/>
      <x:c r="G170" s="2"/>
      <x:c r="H170" s="2"/>
      <x:c r="I170" s="2"/>
    </x:row>
    <x:row r="171" ht="24" customHeight="1">
      <x:c r="A171" s="2" t="str">
        <x:v>計算の根拠</x:v>
      </x:c>
      <x:c r="B171" s="2"/>
      <x:c r="C171" s="2" t="str">
        <x:v>占有時間＝開始−前余白〜開始＋所要＋後余白。製品実機テストではなく、この式の計算です。</x:v>
      </x:c>
      <x:c r="D171" s="2"/>
      <x:c r="E171" s="2"/>
      <x:c r="F171" s="2"/>
      <x:c r="G171" s="2"/>
      <x:c r="H171" s="2"/>
      <x:c r="I171" s="2"/>
    </x:row>
    <x:row r="172" ht="24" customHeight="1">
      <x:c r="A172" s="2" t="str">
        <x:v>freee公式：営業時間の運用</x:v>
      </x:c>
      <x:c r="B172" s="2"/>
      <x:c r="C172" s="2" t="str">
        <x:v>https://support.freee.co.jp/hc/ja/articles/55944107160985</x:v>
      </x:c>
      <x:c r="D172" s="2"/>
      <x:c r="E172" s="2"/>
      <x:c r="F172" s="2"/>
      <x:c r="G172" s="2"/>
      <x:c r="H172" s="2"/>
      <x:c r="I172" s="2"/>
    </x:row>
    <x:row r="173" ht="24" customHeight="1">
      <x:c r="A173" s="2" t="str">
        <x:v>freee公式：前後の確保時間</x:v>
      </x:c>
      <x:c r="B173" s="2"/>
      <x:c r="C173" s="2" t="str">
        <x:v>https://support.freee.co.jp/hc/ja/articles/42546004610585</x:v>
      </x:c>
      <x:c r="D173" s="2"/>
      <x:c r="E173" s="2"/>
      <x:c r="F173" s="2"/>
      <x:c r="G173" s="2"/>
      <x:c r="H173" s="2"/>
      <x:c r="I173" s="2"/>
    </x:row>
    <x:row r="174" ht="24" customHeight="1">
      <x:c r="A174" s="2" t="str">
        <x:v>仕様確認日：2026年10月24日</x:v>
      </x:c>
      <x:c r="B174" s="2"/>
      <x:c r="C174" s="2" t="str">
        <x:v>入力内容は保存先を選ぶとそのファイル内に残ります。実際の顧客情報を入れないでください。</x:v>
      </x:c>
      <x:c r="D174" s="2"/>
      <x:c r="E174" s="2"/>
      <x:c r="F174" s="2"/>
      <x:c r="G174" s="2"/>
      <x:c r="H174" s="2"/>
      <x:c r="I174" s="2"/>
    </x:row>
  </x:sheetData>
  <x:conditionalFormatting sqref="H25:H168">
    <x:cfRule type="containsText" dxfId="0" priority="1" operator="containsText" text="重複あり"/>
  </x:conditionalFormatting>
  <x:conditionalFormatting sqref="B20:B20">
    <x:cfRule type="containsText" dxfId="1" priority="2" operator="containsText" text="入力不足"/>
  </x:conditionalFormatting>
  <x:conditionalFormatting sqref="C6:C6">
    <x:cfRule type="containsText" dxfId="2" priority="3" operator="containsText" text="重複あり"/>
  </x:conditionalFormatting>
  <x:dataValidations count="2">
    <x:dataValidation type="whole" operator="between" sqref="B12:B14">
      <x:formula1>0</x:formula1>
      <x:formula2>1</x:formula2>
    </x:dataValidation>
    <x:dataValidation type="list" sqref="F9">
      <x:formula1>"10,30,60"</x:formula1>
    </x:dataValidation>
  </x:dataValidations>
  <x:pageMargins left="0.7" right="0.7" top="0.75" bottom="0.75" header="0.3" footer="0.3"/>
</x:worksheet>
</file>